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S4128\Downloads\"/>
    </mc:Choice>
  </mc:AlternateContent>
  <xr:revisionPtr revIDLastSave="0" documentId="13_ncr:1_{A672CF32-CA58-46EC-AD0C-0639EA8685CD}" xr6:coauthVersionLast="47" xr6:coauthVersionMax="47" xr10:uidLastSave="{00000000-0000-0000-0000-000000000000}"/>
  <bookViews>
    <workbookView xWindow="29760" yWindow="-2505" windowWidth="28800" windowHeight="15375" xr2:uid="{66C49E4B-68D7-4C63-8106-08332E28BA45}"/>
  </bookViews>
  <sheets>
    <sheet name="Innhold" sheetId="1" r:id="rId1"/>
    <sheet name="1.1" sheetId="96" r:id="rId2"/>
    <sheet name="1.2" sheetId="97" r:id="rId3"/>
    <sheet name="1.3" sheetId="98" r:id="rId4"/>
    <sheet name="1.4" sheetId="99" r:id="rId5"/>
    <sheet name="1.5" sheetId="100" r:id="rId6"/>
    <sheet name="1.6" sheetId="101" r:id="rId7"/>
    <sheet name=" 3.1" sheetId="2" r:id="rId8"/>
    <sheet name="3.2" sheetId="3" r:id="rId9"/>
    <sheet name="3.3" sheetId="6" r:id="rId10"/>
    <sheet name="3.4" sheetId="5" r:id="rId11"/>
    <sheet name="3.5" sheetId="8" r:id="rId12"/>
    <sheet name="3.6" sheetId="14" r:id="rId13"/>
    <sheet name=" 3.7" sheetId="10" r:id="rId14"/>
    <sheet name=" 4.1" sheetId="63" r:id="rId15"/>
    <sheet name=" 4.2" sheetId="64" r:id="rId16"/>
    <sheet name="4.3" sheetId="65" r:id="rId17"/>
    <sheet name="4.4" sheetId="66" r:id="rId18"/>
    <sheet name=" 4.5 " sheetId="67" r:id="rId19"/>
    <sheet name=" 4.6" sheetId="68" r:id="rId20"/>
    <sheet name="4.7" sheetId="69" r:id="rId21"/>
    <sheet name=" 4.8 " sheetId="70" r:id="rId22"/>
    <sheet name="4.9" sheetId="71" r:id="rId23"/>
    <sheet name="5.1" sheetId="36" r:id="rId24"/>
    <sheet name="5.2" sheetId="37" r:id="rId25"/>
    <sheet name="5.3" sheetId="38" r:id="rId26"/>
    <sheet name="5.4" sheetId="39" r:id="rId27"/>
    <sheet name="5.5" sheetId="40" r:id="rId28"/>
    <sheet name="5.6" sheetId="41" r:id="rId29"/>
    <sheet name="5.7" sheetId="42" r:id="rId30"/>
    <sheet name="5.8" sheetId="43" r:id="rId31"/>
    <sheet name="5.9" sheetId="44" r:id="rId32"/>
    <sheet name="5.10" sheetId="45" r:id="rId33"/>
    <sheet name="5.11" sheetId="46" r:id="rId34"/>
    <sheet name="5.12" sheetId="47" r:id="rId35"/>
    <sheet name="5.13" sheetId="48" r:id="rId36"/>
    <sheet name="5.14" sheetId="49" r:id="rId37"/>
    <sheet name="5.15" sheetId="50" r:id="rId38"/>
    <sheet name="5.16" sheetId="51" r:id="rId39"/>
    <sheet name="5.17" sheetId="52" r:id="rId40"/>
    <sheet name="5.18" sheetId="53" r:id="rId41"/>
    <sheet name="5.19" sheetId="54" r:id="rId42"/>
    <sheet name="5.20" sheetId="55" r:id="rId43"/>
    <sheet name="5.21" sheetId="56" r:id="rId44"/>
    <sheet name=" 6.1" sheetId="120" r:id="rId45"/>
    <sheet name=" 6.2 " sheetId="121" r:id="rId46"/>
    <sheet name=" 6.3" sheetId="125" r:id="rId47"/>
    <sheet name=" 6.4" sheetId="124" r:id="rId48"/>
    <sheet name=" 6.5" sheetId="122" r:id="rId49"/>
    <sheet name=" 6.6" sheetId="123" r:id="rId50"/>
    <sheet name=" 6.7" sheetId="144" r:id="rId51"/>
    <sheet name=" 6.8" sheetId="143" r:id="rId52"/>
    <sheet name=" 6.9" sheetId="142" r:id="rId53"/>
    <sheet name=" 6.10" sheetId="141" r:id="rId54"/>
    <sheet name=" 6.11" sheetId="140" r:id="rId55"/>
    <sheet name=" 6.12" sheetId="139" r:id="rId56"/>
    <sheet name=" 6.13" sheetId="138" r:id="rId57"/>
    <sheet name=" 6.14" sheetId="137" r:id="rId58"/>
    <sheet name=" 6.15" sheetId="136" r:id="rId59"/>
    <sheet name=" 6.16" sheetId="135" r:id="rId60"/>
    <sheet name=" 6.17" sheetId="134" r:id="rId61"/>
    <sheet name=" 6.19" sheetId="133" r:id="rId62"/>
    <sheet name=" 6.20" sheetId="126" r:id="rId63"/>
    <sheet name=" 6.21" sheetId="132" r:id="rId64"/>
    <sheet name=" 6.22" sheetId="131" r:id="rId65"/>
    <sheet name=" 6.23" sheetId="130" r:id="rId66"/>
    <sheet name=" 6.24" sheetId="129" r:id="rId67"/>
    <sheet name=" 6.25" sheetId="127" r:id="rId68"/>
    <sheet name=" 6.26" sheetId="128" r:id="rId69"/>
    <sheet name=" 7.1 " sheetId="15" r:id="rId70"/>
    <sheet name=" 7.2" sheetId="16" r:id="rId71"/>
    <sheet name=" 7.3 " sheetId="17" r:id="rId72"/>
    <sheet name=" 7.4 " sheetId="18" r:id="rId73"/>
    <sheet name="7.5 " sheetId="19" r:id="rId74"/>
    <sheet name=" 7.6 " sheetId="20" r:id="rId75"/>
    <sheet name=" 7.7 " sheetId="21" r:id="rId76"/>
    <sheet name=" 7.8" sheetId="22" r:id="rId77"/>
    <sheet name=" 7.9 " sheetId="23" r:id="rId78"/>
    <sheet name=" 7.10 " sheetId="24" r:id="rId79"/>
    <sheet name=" 7.11 " sheetId="25" r:id="rId80"/>
    <sheet name=" 7.12" sheetId="26" r:id="rId81"/>
    <sheet name=" 7.13 " sheetId="27" r:id="rId82"/>
    <sheet name=" 7.14 " sheetId="28" r:id="rId83"/>
    <sheet name=" 7.15 " sheetId="29" r:id="rId84"/>
    <sheet name=" 7.16 " sheetId="30" r:id="rId85"/>
    <sheet name=" 7.17 " sheetId="31" r:id="rId86"/>
    <sheet name="8.1" sheetId="32" r:id="rId87"/>
    <sheet name="8.2" sheetId="33" r:id="rId88"/>
    <sheet name="8.3" sheetId="34" r:id="rId89"/>
    <sheet name="8.4 " sheetId="35" r:id="rId90"/>
    <sheet name=" 9.3" sheetId="102" r:id="rId91"/>
    <sheet name="9.4" sheetId="103" r:id="rId92"/>
    <sheet name=" 10.1" sheetId="104" r:id="rId93"/>
    <sheet name=" 10.2" sheetId="105" r:id="rId94"/>
    <sheet name="  10.3" sheetId="106" r:id="rId95"/>
    <sheet name="10.4" sheetId="107" r:id="rId96"/>
    <sheet name="10.5 " sheetId="108" r:id="rId97"/>
    <sheet name=" 10.6" sheetId="109" r:id="rId98"/>
    <sheet name=" 10.7" sheetId="110" r:id="rId99"/>
    <sheet name=" 10.8" sheetId="111" r:id="rId100"/>
    <sheet name=" 10.9" sheetId="112" r:id="rId101"/>
    <sheet name="10.10" sheetId="113" r:id="rId102"/>
    <sheet name=" 10.11" sheetId="114" r:id="rId103"/>
    <sheet name="10.12" sheetId="115" r:id="rId104"/>
    <sheet name="10.14" sheetId="116" r:id="rId105"/>
    <sheet name="10.15" sheetId="117" r:id="rId106"/>
    <sheet name="10.16" sheetId="118" r:id="rId107"/>
    <sheet name="10.17" sheetId="119" r:id="rId108"/>
    <sheet name=" 11.1 " sheetId="92" r:id="rId109"/>
    <sheet name="11.2" sheetId="93" r:id="rId110"/>
    <sheet name="11.3" sheetId="94" r:id="rId111"/>
    <sheet name="11.4" sheetId="95" r:id="rId112"/>
  </sheets>
  <externalReferences>
    <externalReference r:id="rId113"/>
  </externalReferences>
  <definedNames>
    <definedName name="_Hlk156214435" localSheetId="65">' 6.23'!$A$5</definedName>
    <definedName name="_Toc153460317" localSheetId="88">'8.3'!$B$1</definedName>
    <definedName name="footnotes" localSheetId="14">' 4.1'!$A$44:$R$45</definedName>
    <definedName name="Notes" localSheetId="14">' 4.1'!$A$44:$R$44</definedName>
    <definedName name="Source" localSheetId="14">' 4.1'!$A$45:$R$45</definedName>
    <definedName name="title" localSheetId="14">' 4.1'!$A$6:$R$6</definedName>
    <definedName name="Title_" localSheetId="14">' 4.1'!$A$6:$R$6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32" l="1"/>
  <c r="D20" i="132" s="1"/>
  <c r="D19" i="132" s="1"/>
  <c r="D18" i="132" s="1"/>
  <c r="D17" i="132" s="1"/>
  <c r="D16" i="132" s="1"/>
  <c r="D15" i="132" s="1"/>
  <c r="D14" i="132" s="1"/>
  <c r="D13" i="132" s="1"/>
  <c r="D12" i="132" s="1"/>
  <c r="D11" i="132" s="1"/>
  <c r="D10" i="132" s="1"/>
  <c r="D9" i="132" s="1"/>
  <c r="D8" i="132" s="1"/>
  <c r="D7" i="132" s="1"/>
  <c r="D6" i="132" s="1"/>
  <c r="D5" i="132" s="1"/>
  <c r="D4" i="132" s="1"/>
  <c r="D23" i="132"/>
  <c r="D24" i="132" s="1"/>
  <c r="D25" i="132" s="1"/>
  <c r="D26" i="132" s="1"/>
  <c r="D27" i="132" s="1"/>
  <c r="D28" i="132" s="1"/>
  <c r="D29" i="132" s="1"/>
  <c r="D30" i="132" s="1"/>
  <c r="B5" i="126"/>
  <c r="B6" i="126"/>
  <c r="B7" i="126"/>
  <c r="B8" i="126"/>
  <c r="B9" i="126"/>
  <c r="A4" i="123"/>
  <c r="A5" i="123"/>
  <c r="A6" i="123"/>
  <c r="A7" i="123"/>
  <c r="A8" i="123"/>
  <c r="A9" i="123"/>
  <c r="A10" i="123"/>
  <c r="A11" i="123"/>
  <c r="A12" i="123"/>
  <c r="A13" i="123"/>
  <c r="A14" i="123"/>
  <c r="A15" i="123"/>
  <c r="A16" i="123"/>
  <c r="A17" i="123"/>
  <c r="A18" i="123"/>
  <c r="A19" i="123"/>
  <c r="A20" i="123"/>
  <c r="A21" i="123"/>
  <c r="A22" i="123"/>
  <c r="A23" i="123"/>
  <c r="A24" i="123"/>
  <c r="A25" i="123"/>
  <c r="A26" i="123"/>
  <c r="A27" i="123"/>
  <c r="A28" i="123"/>
  <c r="A29" i="123"/>
  <c r="A30" i="123"/>
  <c r="A31" i="123"/>
  <c r="A32" i="123"/>
  <c r="A33" i="123"/>
  <c r="A34" i="123"/>
  <c r="A35" i="123"/>
  <c r="A36" i="123"/>
  <c r="A37" i="123"/>
  <c r="A38" i="123"/>
  <c r="A39" i="123"/>
  <c r="A40" i="123"/>
  <c r="A41" i="123"/>
  <c r="A42" i="123"/>
  <c r="A43" i="123"/>
  <c r="B5" i="110"/>
  <c r="D5" i="110"/>
  <c r="B6" i="110"/>
  <c r="D6" i="110"/>
  <c r="B7" i="110"/>
  <c r="D7" i="110"/>
  <c r="B8" i="110"/>
  <c r="C8" i="110"/>
  <c r="D8" i="110"/>
  <c r="B9" i="110"/>
  <c r="B10" i="110"/>
  <c r="D10" i="110"/>
  <c r="B5" i="105"/>
  <c r="B7" i="105"/>
  <c r="B8" i="105"/>
  <c r="B11" i="105"/>
  <c r="B12" i="105"/>
  <c r="B16" i="105"/>
  <c r="B18" i="105"/>
  <c r="B20" i="105"/>
  <c r="B22" i="105"/>
  <c r="B24" i="105"/>
  <c r="B26" i="105"/>
  <c r="B28" i="105"/>
  <c r="B30" i="105"/>
  <c r="B31" i="105"/>
  <c r="B32" i="105"/>
  <c r="B4" i="100" l="1"/>
  <c r="C4" i="100"/>
  <c r="B5" i="100"/>
  <c r="C5" i="100"/>
  <c r="B6" i="100"/>
  <c r="C6" i="100"/>
  <c r="B7" i="100"/>
  <c r="C7" i="100"/>
  <c r="B8" i="100"/>
  <c r="C8" i="100"/>
  <c r="C7" i="51"/>
  <c r="C6" i="51"/>
  <c r="C5" i="51"/>
  <c r="B7" i="51"/>
  <c r="B6" i="51"/>
  <c r="B5" i="51"/>
  <c r="D7" i="51"/>
  <c r="D6" i="51"/>
  <c r="D5" i="51"/>
  <c r="D4" i="51"/>
  <c r="C4" i="51"/>
  <c r="B4" i="51"/>
  <c r="C16" i="54" l="1"/>
  <c r="B7" i="52"/>
  <c r="C7" i="52"/>
  <c r="D7" i="52"/>
  <c r="E7" i="52"/>
  <c r="B9" i="52"/>
  <c r="C9" i="52"/>
  <c r="D9" i="52"/>
  <c r="E9" i="52"/>
  <c r="Q4" i="46"/>
  <c r="R4" i="46"/>
  <c r="S4" i="46"/>
  <c r="T4" i="46"/>
  <c r="U4" i="46"/>
  <c r="V4" i="46"/>
  <c r="W4" i="46"/>
  <c r="X4" i="46"/>
  <c r="Y4" i="46"/>
  <c r="Z4" i="46"/>
  <c r="AA4" i="46"/>
  <c r="AB4" i="46"/>
  <c r="AC4" i="46"/>
  <c r="Q5" i="46"/>
  <c r="R5" i="46"/>
  <c r="S5" i="46"/>
  <c r="T5" i="46"/>
  <c r="U5" i="46"/>
  <c r="V5" i="46"/>
  <c r="W5" i="46"/>
  <c r="X5" i="46"/>
  <c r="Y5" i="46"/>
  <c r="Z5" i="46"/>
  <c r="AA5" i="46"/>
  <c r="AB5" i="46"/>
  <c r="AC5" i="46"/>
  <c r="Q6" i="46"/>
  <c r="R6" i="46"/>
  <c r="S6" i="46"/>
  <c r="T6" i="46"/>
  <c r="U6" i="46"/>
  <c r="V6" i="46"/>
  <c r="W6" i="46"/>
  <c r="X6" i="46"/>
  <c r="Y6" i="46"/>
  <c r="Z6" i="46"/>
  <c r="AA6" i="46"/>
  <c r="AB6" i="46"/>
  <c r="AC6" i="46"/>
  <c r="B7" i="32" l="1"/>
  <c r="C7" i="32"/>
  <c r="D7" i="32"/>
  <c r="B8" i="32"/>
  <c r="C8" i="32"/>
  <c r="D8" i="32"/>
  <c r="B9" i="32"/>
  <c r="C9" i="32"/>
  <c r="D9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E14" i="32"/>
  <c r="B15" i="32"/>
  <c r="C15" i="32"/>
  <c r="D15" i="32"/>
  <c r="E15" i="32"/>
  <c r="B16" i="32"/>
  <c r="C16" i="32"/>
  <c r="D16" i="32"/>
  <c r="E16" i="32"/>
  <c r="B17" i="32"/>
  <c r="C17" i="32"/>
  <c r="D17" i="32"/>
  <c r="E17" i="32"/>
  <c r="B18" i="32"/>
  <c r="C18" i="32"/>
  <c r="D18" i="32"/>
  <c r="E18" i="32"/>
  <c r="B19" i="32"/>
  <c r="C19" i="32"/>
  <c r="D19" i="32"/>
  <c r="E19" i="32"/>
  <c r="B20" i="32"/>
  <c r="C20" i="32"/>
  <c r="D20" i="32"/>
  <c r="E20" i="32"/>
  <c r="B21" i="32"/>
  <c r="C21" i="32"/>
  <c r="D21" i="32"/>
  <c r="E21" i="32"/>
  <c r="B22" i="32"/>
  <c r="C22" i="32"/>
  <c r="D22" i="32"/>
  <c r="E22" i="32"/>
  <c r="B23" i="32"/>
  <c r="C23" i="32"/>
  <c r="D23" i="32"/>
  <c r="E23" i="32"/>
  <c r="B24" i="32"/>
  <c r="C24" i="32"/>
  <c r="D24" i="32"/>
  <c r="E24" i="32"/>
  <c r="B25" i="32"/>
  <c r="C25" i="32"/>
  <c r="D25" i="32"/>
  <c r="E25" i="32"/>
  <c r="B26" i="32"/>
  <c r="C26" i="32"/>
  <c r="D26" i="32"/>
  <c r="E26" i="32"/>
  <c r="B27" i="32"/>
  <c r="C27" i="32"/>
  <c r="D27" i="32"/>
  <c r="E27" i="32"/>
  <c r="B29" i="32"/>
  <c r="C29" i="32"/>
  <c r="D29" i="32"/>
  <c r="E29" i="32"/>
  <c r="B30" i="32"/>
  <c r="C30" i="32"/>
  <c r="D30" i="32"/>
  <c r="E30" i="32"/>
  <c r="B31" i="32"/>
  <c r="C31" i="32"/>
  <c r="D31" i="32"/>
  <c r="E31" i="32"/>
  <c r="B32" i="32"/>
  <c r="C32" i="32"/>
  <c r="D32" i="32"/>
  <c r="E32" i="32"/>
  <c r="B33" i="32"/>
  <c r="C33" i="32"/>
  <c r="D33" i="32"/>
  <c r="E33" i="32"/>
  <c r="B34" i="32"/>
  <c r="C34" i="32"/>
  <c r="D34" i="32"/>
  <c r="E34" i="32"/>
  <c r="F34" i="32"/>
  <c r="D35" i="32"/>
  <c r="F35" i="32"/>
  <c r="B6" i="17"/>
  <c r="C6" i="17"/>
  <c r="D6" i="17"/>
  <c r="B7" i="17"/>
  <c r="C7" i="17"/>
  <c r="D7" i="17"/>
  <c r="B8" i="17"/>
  <c r="C8" i="17"/>
  <c r="D8" i="17"/>
  <c r="B9" i="17"/>
  <c r="C9" i="17"/>
  <c r="D9" i="17"/>
  <c r="B10" i="17"/>
  <c r="C10" i="17"/>
  <c r="D10" i="17"/>
  <c r="B11" i="17"/>
  <c r="C11" i="17"/>
  <c r="D11" i="17"/>
  <c r="B12" i="17"/>
  <c r="C12" i="17"/>
  <c r="D12" i="17"/>
  <c r="B13" i="17"/>
  <c r="C13" i="17"/>
  <c r="D13" i="17"/>
  <c r="B14" i="17"/>
  <c r="C14" i="17"/>
  <c r="D14" i="17"/>
  <c r="B15" i="17"/>
  <c r="C15" i="17"/>
  <c r="D15" i="17"/>
  <c r="B16" i="17"/>
  <c r="C16" i="17"/>
  <c r="D16" i="17"/>
  <c r="B17" i="17"/>
  <c r="C17" i="17"/>
  <c r="D17" i="17"/>
  <c r="B18" i="17"/>
  <c r="C18" i="17"/>
  <c r="D18" i="17"/>
  <c r="B19" i="17"/>
  <c r="C19" i="17"/>
  <c r="D19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B29" i="17"/>
  <c r="C29" i="17"/>
  <c r="D29" i="17"/>
  <c r="B30" i="17"/>
  <c r="C30" i="17"/>
  <c r="D30" i="17"/>
  <c r="B31" i="17"/>
  <c r="C31" i="17"/>
  <c r="D31" i="17"/>
  <c r="B32" i="17"/>
  <c r="C32" i="17"/>
  <c r="D32" i="17"/>
  <c r="B33" i="17"/>
  <c r="C33" i="17"/>
  <c r="D33" i="17"/>
  <c r="D34" i="17"/>
  <c r="B35" i="17"/>
  <c r="C35" i="17"/>
  <c r="B36" i="17"/>
  <c r="C36" i="17"/>
  <c r="C34" i="17" s="1"/>
  <c r="B37" i="17"/>
  <c r="C37" i="17"/>
  <c r="B38" i="17"/>
  <c r="C38" i="17"/>
  <c r="B39" i="17"/>
  <c r="C39" i="17"/>
  <c r="B40" i="17"/>
  <c r="C40" i="17"/>
  <c r="B41" i="17"/>
  <c r="C41" i="17"/>
  <c r="B42" i="17"/>
  <c r="C42" i="17"/>
</calcChain>
</file>

<file path=xl/sharedStrings.xml><?xml version="1.0" encoding="utf-8"?>
<sst xmlns="http://schemas.openxmlformats.org/spreadsheetml/2006/main" count="1672" uniqueCount="890">
  <si>
    <t>USA</t>
  </si>
  <si>
    <t>OECD</t>
  </si>
  <si>
    <t>Figur 3.1</t>
  </si>
  <si>
    <t>Figur 3.2</t>
  </si>
  <si>
    <t>Figur 3.4</t>
  </si>
  <si>
    <t>Figur 3.6</t>
  </si>
  <si>
    <t>Figur 3.7</t>
  </si>
  <si>
    <t>År</t>
  </si>
  <si>
    <t>Varer fra fastlandet</t>
  </si>
  <si>
    <t>Industriprodukter</t>
  </si>
  <si>
    <t>Varer fra fastlandet utenom raffinerte oljeprodukter</t>
  </si>
  <si>
    <t xml:space="preserve">00-99 Alle næringer </t>
  </si>
  <si>
    <t xml:space="preserve">Øvrige bosatte </t>
  </si>
  <si>
    <t xml:space="preserve">Innvandrere ekskl. arbeidsinnvandrere </t>
  </si>
  <si>
    <t>Arbeidsinnvandrere</t>
  </si>
  <si>
    <t>Utenlandske pendlere</t>
  </si>
  <si>
    <t xml:space="preserve">77-82 Forretningsmessig tjenesteyting </t>
  </si>
  <si>
    <t xml:space="preserve">86-88 Helse- og Sosialtjenester </t>
  </si>
  <si>
    <t xml:space="preserve">01-03 Jordbruk, skogbruk og fiske </t>
  </si>
  <si>
    <t xml:space="preserve">05-09 Bergverksdrift og utvinng </t>
  </si>
  <si>
    <t>10-33 Industri</t>
  </si>
  <si>
    <t>41-43 Bygge- og anleggsvirksomhet</t>
  </si>
  <si>
    <t xml:space="preserve">45-47 Varehandel, reparasjon av motorvogner </t>
  </si>
  <si>
    <t xml:space="preserve">49-53 Transport og lagring </t>
  </si>
  <si>
    <t>55-56 Overnattings- og serveringsvirksomhet</t>
  </si>
  <si>
    <t>Figur 3.3</t>
  </si>
  <si>
    <t>1973-1983</t>
  </si>
  <si>
    <t>1984-1991</t>
  </si>
  <si>
    <t>AP</t>
  </si>
  <si>
    <t>TFP</t>
  </si>
  <si>
    <t>2004-2011</t>
  </si>
  <si>
    <t>2012-2019</t>
  </si>
  <si>
    <t>2020-2023</t>
  </si>
  <si>
    <t xml:space="preserve">Andel av innvandrere etter utvalgte næringer </t>
  </si>
  <si>
    <t>Figur 3.5</t>
  </si>
  <si>
    <t>1992-2003</t>
  </si>
  <si>
    <t>Reallønn (KPI)</t>
  </si>
  <si>
    <t>Reallønn (bruttoprodukt)</t>
  </si>
  <si>
    <t>Produktivitet</t>
  </si>
  <si>
    <t xml:space="preserve">Storbritannia </t>
  </si>
  <si>
    <t>Sverige</t>
  </si>
  <si>
    <t>Norge</t>
  </si>
  <si>
    <t>Island</t>
  </si>
  <si>
    <t>Irland</t>
  </si>
  <si>
    <t>Finland</t>
  </si>
  <si>
    <t>Frankrike</t>
  </si>
  <si>
    <t xml:space="preserve">Spania </t>
  </si>
  <si>
    <t>Danmark</t>
  </si>
  <si>
    <t>Nederland</t>
  </si>
  <si>
    <t>Sveits</t>
  </si>
  <si>
    <t>Belgia</t>
  </si>
  <si>
    <t>Hellas</t>
  </si>
  <si>
    <t>Østerrike</t>
  </si>
  <si>
    <t>Tyskland</t>
  </si>
  <si>
    <t>Estland</t>
  </si>
  <si>
    <t>Italia</t>
  </si>
  <si>
    <t>Portugal</t>
  </si>
  <si>
    <t>Latvia</t>
  </si>
  <si>
    <t>Slovenia</t>
  </si>
  <si>
    <t>Lituaen</t>
  </si>
  <si>
    <t>Polen</t>
  </si>
  <si>
    <t>Tjekkia</t>
  </si>
  <si>
    <t>Slovakia</t>
  </si>
  <si>
    <t xml:space="preserve"> Andel sysselsatte i yrker med høy risiko for automatisering etter land. 2019 </t>
  </si>
  <si>
    <t>Ungarn</t>
  </si>
  <si>
    <t>Åpenhet for handel, sum av eksport og import som andel av BNP. Prosent. 1874-2021</t>
  </si>
  <si>
    <t xml:space="preserve">Figur 3.4 </t>
  </si>
  <si>
    <t xml:space="preserve">Figur 3.3 </t>
  </si>
  <si>
    <t xml:space="preserve">Produktivitetsvekst i markedsrettede fastlandsnæringer. Gjennomnsittlige årlige vekstrater. Prosent. </t>
  </si>
  <si>
    <t>Bytteforhold for varer fra fastlandet for Norge. Indeks 2000=100. 2000-2023</t>
  </si>
  <si>
    <t>Timelønnskostnader i industrien i Norge i forhold til industrien hos handelspartnerer i EU og Storbritannia. Handelspartnere = 100</t>
  </si>
  <si>
    <t>Utvikling i reallønninger og produktivitet i fastlandsøkonomien. 1970-2022</t>
  </si>
  <si>
    <t>Verdenshandelindeks</t>
  </si>
  <si>
    <t>Timelønnskostnader i industrien i Norge</t>
  </si>
  <si>
    <t xml:space="preserve">Timelønnskostnader i forhold til industrien hos handelspartnere i EU og Storbritannia </t>
  </si>
  <si>
    <t xml:space="preserve"> Andel sysselsatte i yrker med høy risiko for automatisering etter land. Prosent. 2019</t>
  </si>
  <si>
    <t>Andel av innvandrere etter utvalgte næringer. Prosent. 2020.</t>
  </si>
  <si>
    <t>Andel årsverk etter næring med ettårig og toårig lavlønn under 2/3M-grensen. Kun i jobb, uten
lærlinger. Prosent. Ett år=2022, to år= 2021–2022</t>
  </si>
  <si>
    <t>Figur 7.17</t>
  </si>
  <si>
    <t>Andel årsverk etter kjennetegn med ettårig og toårig lavlønn under 2/3M-grensen. Kun i jobb, uten
lærlinger. Prosent. Ett år=2022, to år= 2021–2022</t>
  </si>
  <si>
    <t>Figur 7.16</t>
  </si>
  <si>
    <t>Lavlønnsforekomst og andel av lavtlønte årsverk under 2/3M-grensen etter fagforeningsmedlemskap. Kun i jobb, uten lærlinger. Prosent. 2021</t>
  </si>
  <si>
    <t>Figur 7.15</t>
  </si>
  <si>
    <t>Lavlønnsforekomst og andel av de lavtlønte årsverkene under 2/3M-grensen etter kjønn. Kun i jobb, uten lærlinger. Prosent. 2022</t>
  </si>
  <si>
    <t>Figur 7.14</t>
  </si>
  <si>
    <t>Lavlønnsforekomst og andel av lavtlønte årsverk under 2/3M-grensen etter innvandringsstatus. Kun i jobb, uten lærlinger. Prosent. 2022</t>
  </si>
  <si>
    <t>Figur 7.13</t>
  </si>
  <si>
    <t>Relativ lønnsinntekt for lønnstakere etter utanningslengde sammenlignet med de som har mindre enn videregående skole som høyeste utdanning (Grunnskole = 100). Heltidsansatte. 25-64 år. 2021</t>
  </si>
  <si>
    <t>Figur 7.12</t>
  </si>
  <si>
    <t>Gjenonnsnitlig livsløpsinntekt etter utdanningsnivå.</t>
  </si>
  <si>
    <t>Figur 7.11</t>
  </si>
  <si>
    <t>Lavlønnsforekomst og andel av lavtlønte under 2/3M-grensen etter utdannelse. Kun i jobb, uten lærlinger. Prosent. 2022</t>
  </si>
  <si>
    <t>Figur 7.10</t>
  </si>
  <si>
    <t>Lavlønnsforekomst og andel av lavtlønte årsverk under 2/3M-grensen etter alder. Kun i jobb, uten lærlinger. Prosent. 2022</t>
  </si>
  <si>
    <t>Figur 7.9</t>
  </si>
  <si>
    <t>Fordeling av arbeidsforhold etter alder og arbeidstid i utvalgte næringer. Prosent. November 2022.</t>
  </si>
  <si>
    <t>Figur 7.8</t>
  </si>
  <si>
    <t>Lavlønnsforekomst og andel av lavtlønte årsverk under 2/3M- grensen etter stillingsprosent. Kun i jobb, uten lærlinger. Prosent. 2022.</t>
  </si>
  <si>
    <t>Figur 7.7</t>
  </si>
  <si>
    <t>Lavlønnsforekomst og andel av lavtlønte årsverk under 2/3M-grensen etter foretaksstørrelse mål i antall ansatte. Kun i jobb, uten lærlinger. Prosent. 2022</t>
  </si>
  <si>
    <t>Figur 7.6</t>
  </si>
  <si>
    <t>Lavlønnsandel og lønnkostnadsandel, faktorinntekt per årsverk og driftsresultat per årsverk. 2017-2022</t>
  </si>
  <si>
    <t>Figur 7.5</t>
  </si>
  <si>
    <t>Lavlønnsforekomst og andel av lavtlønte under 2/3M-grensen etter sentralitet. Kun i jobb, uten lærlinger. 2022.</t>
  </si>
  <si>
    <t>Figur 7.4</t>
  </si>
  <si>
    <t>Lavlønnsforekomst og andel av lavtlønte årsverk under 2/3M-grensen etter næring. Kun i jobb, uten lærlinger. Prosent. 2022</t>
  </si>
  <si>
    <t>Figur 7.3</t>
  </si>
  <si>
    <t>Lavlønnsforekomst og andel av lavtlønte årsverk  under 2/3M-grensen etter sektor. Kun i jobb, uten lærlinger. Prosent. 2022.</t>
  </si>
  <si>
    <t>Figur 7.2</t>
  </si>
  <si>
    <t>Figur 7.1</t>
  </si>
  <si>
    <t>Statsforvaltningen</t>
  </si>
  <si>
    <t>Kommuneforvaltningen</t>
  </si>
  <si>
    <t>Privat sektor og offentlige eide foretak</t>
  </si>
  <si>
    <t>Alle jobber</t>
  </si>
  <si>
    <t>Intervall årslønn</t>
  </si>
  <si>
    <t>Lønnsfordeling i privat sektor, kommuneforvaltning og statsforvaltning. Kun i jobb, uten lærlinger. Andel i prosent per 60 000-kroners intervall. 2022</t>
  </si>
  <si>
    <t>Andel av lavtlønte</t>
  </si>
  <si>
    <t>Lavlønnsforekomst</t>
  </si>
  <si>
    <t>Sektor</t>
  </si>
  <si>
    <t>O Offentlig administrasjon og forsvar, og trygdeordninger underlagt offentlig forvaltning</t>
  </si>
  <si>
    <t>L Omsetning og drift av fast eiendom</t>
  </si>
  <si>
    <t>K Finansierings- og forsikringsvirksomhet</t>
  </si>
  <si>
    <t>J Informasjon og kommunikasjon</t>
  </si>
  <si>
    <t>E Vann, avløp, renovasjon</t>
  </si>
  <si>
    <t>D Elektrisitets-, gass-, damp- og varmtvannsforsyning</t>
  </si>
  <si>
    <t>B Bergverksdrift og utvinning</t>
  </si>
  <si>
    <t>X Øvrige næringer og Ikke oppgitt</t>
  </si>
  <si>
    <t>Andre næringer</t>
  </si>
  <si>
    <t>S Reparasjon av varer til personlig bruk</t>
  </si>
  <si>
    <t>S Annen personlig tjenesteyting (frisering, kropspleie, vaskeri, begravelsesbyrå mm)</t>
  </si>
  <si>
    <t>S Aktiviteter i medelemsorg.</t>
  </si>
  <si>
    <t>R Kultur, underholdning og fritid</t>
  </si>
  <si>
    <t>Q Sykehustjenester</t>
  </si>
  <si>
    <t>Q Øvrige Helse- og sosialtjenester</t>
  </si>
  <si>
    <t>P Undervisning</t>
  </si>
  <si>
    <t>N Vakttjeneste og etterforsking</t>
  </si>
  <si>
    <t>N Utleie- og leasingvirksomhet</t>
  </si>
  <si>
    <t>N Tjenester tilknyttet eiendomsdrift</t>
  </si>
  <si>
    <t>N Rengjøringsvirksomhet</t>
  </si>
  <si>
    <t>N Reisebyråer og reisearrangører</t>
  </si>
  <si>
    <t>N Forretningsmessig tjenesteyting ellers</t>
  </si>
  <si>
    <t>N Arbeidskrafttjenester</t>
  </si>
  <si>
    <t>M Faglig, vitenskapelig og teknisk tjenesteyting</t>
  </si>
  <si>
    <t>I Serveringsvirksomhet</t>
  </si>
  <si>
    <t>I Overnattingsvirksomhet</t>
  </si>
  <si>
    <t>H Transporttjenester og lagring og Post og distribusjonsvirksomhet</t>
  </si>
  <si>
    <t>H Sjøfart og kysttrafikk med passasjerer og gods</t>
  </si>
  <si>
    <t>H Lufttransport</t>
  </si>
  <si>
    <t>H Landtransport med passasjerer og gods</t>
  </si>
  <si>
    <t>G Handel med og reparasjon av motorvogner</t>
  </si>
  <si>
    <t>G Detaljhandel, unntatt med motorvogner</t>
  </si>
  <si>
    <t>G Agentur- og engroshandel, unntatt med motorvogner</t>
  </si>
  <si>
    <t>F Bygge- og anleggsvirksomhet</t>
  </si>
  <si>
    <t>C Industri</t>
  </si>
  <si>
    <t>A Jordbruk, skogbruk og fiske unntatt akvakultur</t>
  </si>
  <si>
    <t>A Akvakultur</t>
  </si>
  <si>
    <t>Lavlønnsforekomst, gjennomsnitt</t>
  </si>
  <si>
    <t>Næring</t>
  </si>
  <si>
    <t xml:space="preserve">Figur 7.3 </t>
  </si>
  <si>
    <t>Sentralitet: 1 - høy</t>
  </si>
  <si>
    <t xml:space="preserve"> Sentralitet: 2 </t>
  </si>
  <si>
    <t xml:space="preserve"> Sentralitet: 3 </t>
  </si>
  <si>
    <t xml:space="preserve">Sentralitet: 4 </t>
  </si>
  <si>
    <t xml:space="preserve"> Sentralitet: 5 </t>
  </si>
  <si>
    <t>Sentralitet: 6 - lav</t>
  </si>
  <si>
    <t>Uoppgitt/rest</t>
  </si>
  <si>
    <t>Sentralitet</t>
  </si>
  <si>
    <t>Antall heltidsekvivalenter under 2/3*M</t>
  </si>
  <si>
    <t>Antall jobber under 2/3*M</t>
  </si>
  <si>
    <t>Passasjertransport</t>
  </si>
  <si>
    <t>Bygg og anlegg</t>
  </si>
  <si>
    <t>Arbeidskrafttjen.</t>
  </si>
  <si>
    <t>Forr. tjen.y.</t>
  </si>
  <si>
    <t>Overnatting</t>
  </si>
  <si>
    <t>Godstransport</t>
  </si>
  <si>
    <t>Industri</t>
  </si>
  <si>
    <t>Kultur og fritid</t>
  </si>
  <si>
    <t>Helse og sosial</t>
  </si>
  <si>
    <t>Jord- og skogbruk</t>
  </si>
  <si>
    <t>Personlig tjen.y.</t>
  </si>
  <si>
    <t>Info.og kom.</t>
  </si>
  <si>
    <t>Engroshandel</t>
  </si>
  <si>
    <t>Faglig tjen.y.</t>
  </si>
  <si>
    <t>Rep.motorv.</t>
  </si>
  <si>
    <t>Servering</t>
  </si>
  <si>
    <t>Oljetjenester</t>
  </si>
  <si>
    <t>Detaljhandel</t>
  </si>
  <si>
    <t>Driftsresultat pr. årsverk, 1000 kr</t>
  </si>
  <si>
    <t>Lavlønnsandel, prosent</t>
  </si>
  <si>
    <t xml:space="preserve">Faktorinntekt pr. årsverk, 1000 kr </t>
  </si>
  <si>
    <t>Lønnskostnadsandel, prosent</t>
  </si>
  <si>
    <t>Frtk strl 250 og over</t>
  </si>
  <si>
    <t>Frtk strl 100-249</t>
  </si>
  <si>
    <t>Frtk strl 25-99</t>
  </si>
  <si>
    <t>Frtk strl 10-24</t>
  </si>
  <si>
    <t>Frtk strl 1-9</t>
  </si>
  <si>
    <t xml:space="preserve"> Frtk strl uoppgitt</t>
  </si>
  <si>
    <t>Foretaksstørrelse</t>
  </si>
  <si>
    <t>P100</t>
  </si>
  <si>
    <t>P080-099</t>
  </si>
  <si>
    <t>P060-079</t>
  </si>
  <si>
    <t>P040-059</t>
  </si>
  <si>
    <t>P020-039</t>
  </si>
  <si>
    <t>P000-019</t>
  </si>
  <si>
    <t>Andel jobber under av alle jobber under 2/3</t>
  </si>
  <si>
    <t>Andel jobber under 2/3*M</t>
  </si>
  <si>
    <t>Stillingsprosent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</si>
  <si>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</si>
  <si>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</si>
  <si>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</si>
  <si>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</si>
  <si>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</si>
  <si>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Finansierings- og forsikringsvirksomhet</t>
  </si>
  <si>
    <t>Faglig, vitenskapelig og teknisk tjenesteyting</t>
  </si>
  <si>
    <t>Forretningsmessig tjenesteyting</t>
  </si>
  <si>
    <t>Helse- og sosialtjenester</t>
  </si>
  <si>
    <t>Herav helseforetak (statsforv.)</t>
  </si>
  <si>
    <t>Herav pleie- og omsorgstjenester*</t>
  </si>
  <si>
    <t>Herav pleie- og omsorgstjenester</t>
  </si>
  <si>
    <t>heltid</t>
  </si>
  <si>
    <t>deltid</t>
  </si>
  <si>
    <t>25 år og eldre,</t>
  </si>
  <si>
    <t>Under 25 år,</t>
  </si>
  <si>
    <t>Fordeling av arbeidsforhold etter alder og arbeidstid i utvalgte næringer. Prosent. November 2023</t>
  </si>
  <si>
    <t>65 og over</t>
  </si>
  <si>
    <t>55-64</t>
  </si>
  <si>
    <t>45-54</t>
  </si>
  <si>
    <t>30-44</t>
  </si>
  <si>
    <t>25-29</t>
  </si>
  <si>
    <t>Under 25</t>
  </si>
  <si>
    <t>Alder</t>
  </si>
  <si>
    <t>Universitet og høgskole, over 4 år</t>
  </si>
  <si>
    <t>Universitet og høgskole, 1-4 år</t>
  </si>
  <si>
    <t>Videregående</t>
  </si>
  <si>
    <t>Grunnskole</t>
  </si>
  <si>
    <t>Uoppgitt eller ingen fullført utdanning</t>
  </si>
  <si>
    <t>Snitt</t>
  </si>
  <si>
    <t>Utdanning</t>
  </si>
  <si>
    <t xml:space="preserve">Ikke fullført videregående </t>
  </si>
  <si>
    <t xml:space="preserve">Videregående, avsluttet utdanning </t>
  </si>
  <si>
    <t xml:space="preserve">Påbygging til videregående utdanning </t>
  </si>
  <si>
    <t xml:space="preserve">Universitets- og høyskoleutdanning, lavere nivå </t>
  </si>
  <si>
    <t xml:space="preserve">Universitet- og høyskoleutdanning, høyere nivå </t>
  </si>
  <si>
    <t xml:space="preserve">Forkerutdanning </t>
  </si>
  <si>
    <t>Mill. 2019-kroner</t>
  </si>
  <si>
    <t xml:space="preserve">Livsløpsinntekt etter utdanningsnivå </t>
  </si>
  <si>
    <t>EU25-snittet</t>
  </si>
  <si>
    <t/>
  </si>
  <si>
    <t>Master eller høyere</t>
  </si>
  <si>
    <t>Bachelor</t>
  </si>
  <si>
    <t>Yrkesfaglig utdanning vgs</t>
  </si>
  <si>
    <t>Studiespesialisering vgs</t>
  </si>
  <si>
    <t>Øvrige bosatte</t>
  </si>
  <si>
    <t>Innvandrere</t>
  </si>
  <si>
    <t>Ikke bosatte</t>
  </si>
  <si>
    <t>Innvandringskategori</t>
  </si>
  <si>
    <t>Menn</t>
  </si>
  <si>
    <t>Kvinner</t>
  </si>
  <si>
    <t>Kjønn</t>
  </si>
  <si>
    <t>Uorganiserte</t>
  </si>
  <si>
    <t>Organsierte</t>
  </si>
  <si>
    <t>Fagforening (2021)</t>
  </si>
  <si>
    <t>55 og over</t>
  </si>
  <si>
    <t>Universitets- eller høgskoleutdanning, lengre enn 4 år</t>
  </si>
  <si>
    <t>Universitets- eller høgskoleutdanning, til og med 4 år</t>
  </si>
  <si>
    <t>Utdanning på videregående skole-nivå</t>
  </si>
  <si>
    <t>Utdanning på grunnskolenivå</t>
  </si>
  <si>
    <t>Høyeste fullførte utdanningsnivå</t>
  </si>
  <si>
    <t>Innnvandrere</t>
  </si>
  <si>
    <t>Ett år</t>
  </si>
  <si>
    <t>To år</t>
  </si>
  <si>
    <t xml:space="preserve">Figur 7.16 </t>
  </si>
  <si>
    <t>lærlinger. Prosent. Ett år=2022, to år= 2021–20221,</t>
  </si>
  <si>
    <t>Figur 7.17 Andel årsverk etter næring med ettårig og toårig lavlønn under 2/3M-grensen. Kun i jobb, uten</t>
  </si>
  <si>
    <t xml:space="preserve">Figur 8.1 </t>
  </si>
  <si>
    <t>Tilknytningsform i hovedarbeidsforhold, andel av sysselsatte. 20-66 år. Prosent. 1995-2021</t>
  </si>
  <si>
    <t>Figur 8.2</t>
  </si>
  <si>
    <t>Lavlønnsforekomst og andel av lavlønte under 2/3M-grensen. Kun i jobb, uten lærlinger. Prosent. 2022</t>
  </si>
  <si>
    <t>Figur 8.3</t>
  </si>
  <si>
    <t>Tilknytningsform  i hovedarbeidsforhold, som andel  av sysselsatte med lav yrkesinntekt. 20–66 år. Prosent. 1997–2021</t>
  </si>
  <si>
    <t>Figur 8.4</t>
  </si>
  <si>
    <t>Andel med fagofreningsmedlemsskap etter tilknytningsform. Alle bosatte og syselsatte personer i alderen 20-66 år med lav inntekt, utenom arbeidstakere i primærnæringene. Prosent. 1997-2021</t>
  </si>
  <si>
    <t>Figurer til kapittel 8:  Alternative tilknytningsformer</t>
  </si>
  <si>
    <t>Figurer til kapittel 7: Kjenentegn ved lavlønn</t>
  </si>
  <si>
    <t>Midlertidig (a-ord.)</t>
  </si>
  <si>
    <t>Selvstendig</t>
  </si>
  <si>
    <t>Bemanningsbyrå</t>
  </si>
  <si>
    <t>Midlertidig (&lt; 1 år)</t>
  </si>
  <si>
    <t>Fast</t>
  </si>
  <si>
    <t>Figur 8.1</t>
  </si>
  <si>
    <t>Midlertidig</t>
  </si>
  <si>
    <t>Utleide</t>
  </si>
  <si>
    <t>Alle</t>
  </si>
  <si>
    <t>Ansettelsesform</t>
  </si>
  <si>
    <t>Midlertidig (&lt;1 år)</t>
  </si>
  <si>
    <t>Lavinntekt</t>
  </si>
  <si>
    <t>Figur 5.1</t>
  </si>
  <si>
    <t>Figur 5.2</t>
  </si>
  <si>
    <t>Figur 5.3</t>
  </si>
  <si>
    <t>Figur 5.4</t>
  </si>
  <si>
    <t>Figur 5.5</t>
  </si>
  <si>
    <t>Figur 5.6</t>
  </si>
  <si>
    <t>Sysselsettingsandel. Personer 55-64 år. Prosent. 2023</t>
  </si>
  <si>
    <t>Figur 5.7</t>
  </si>
  <si>
    <t>Aldersfordeling for sysselsatte personer i Norge. Prosent</t>
  </si>
  <si>
    <t>Figur 5.8</t>
  </si>
  <si>
    <t>Utførte timeverk per innbygger. Årlig. 2023.</t>
  </si>
  <si>
    <t>Figur 5.9</t>
  </si>
  <si>
    <t>Utførte timeverk per sysselsatt og sysselsettingsandel i prosent. 2023</t>
  </si>
  <si>
    <t>Figur 5.10</t>
  </si>
  <si>
    <t xml:space="preserve">Andel sysselsatte personer som jobber deltid i Norge, totalt og etter kort og lang deltid. Personer 15-74 år. Prosent. </t>
  </si>
  <si>
    <t>Figur 5.11</t>
  </si>
  <si>
    <t>Figur 5.12</t>
  </si>
  <si>
    <t>Figur 5.13</t>
  </si>
  <si>
    <t>Figur 5.14</t>
  </si>
  <si>
    <t>Utdanningsnivå i Norge sammenlignet med andre land. Personer 25-64 år. Prosent.  2022</t>
  </si>
  <si>
    <t>Figur 5.15</t>
  </si>
  <si>
    <t>Figur 5.16</t>
  </si>
  <si>
    <t>Fordeling av utdanningsnivå blant sysselsatte. Personer 15-74 år. Prosent</t>
  </si>
  <si>
    <t>Figur 5.17</t>
  </si>
  <si>
    <t>Andel interesserte blant spurte arbeidstakere i å delta i etter- og videreutdanning. Prosent. 2010-2023</t>
  </si>
  <si>
    <t>Figur 5.18</t>
  </si>
  <si>
    <t>Figur 5.19</t>
  </si>
  <si>
    <t>Nettoinnvandring i Norge. Antall personer. 1997-2023</t>
  </si>
  <si>
    <t>Figur 5.20</t>
  </si>
  <si>
    <t>Andel sysselsatte innvandrere av alle sysselsatte personer. Innvandrere i alt og etter landbakgrunn.15-74 år. Prosent</t>
  </si>
  <si>
    <t>Figur 5.21</t>
  </si>
  <si>
    <t>Antall Ikke-bosatte lønnstakere etter landbakgrunn. Årlige tall. 2007-2022</t>
  </si>
  <si>
    <t>Spaina</t>
  </si>
  <si>
    <t>Litauen</t>
  </si>
  <si>
    <t>Romania</t>
  </si>
  <si>
    <t>EU</t>
  </si>
  <si>
    <t xml:space="preserve">6 - minst sentrale kommuner </t>
  </si>
  <si>
    <t xml:space="preserve">1 - mest sentrale kommuner </t>
  </si>
  <si>
    <t>Andel</t>
  </si>
  <si>
    <t>Antall</t>
  </si>
  <si>
    <t>250+ sysselsette</t>
  </si>
  <si>
    <t>100-249 sysselsette</t>
  </si>
  <si>
    <t>20-99 sysselsatte</t>
  </si>
  <si>
    <t>10-19 sysselsette</t>
  </si>
  <si>
    <t>1-9 sysselsatte</t>
  </si>
  <si>
    <t>0 sysselsette, eller inga rapportering</t>
  </si>
  <si>
    <t>Sysselsatte</t>
  </si>
  <si>
    <t>Foretak</t>
  </si>
  <si>
    <t>2021</t>
  </si>
  <si>
    <t xml:space="preserve">Italia </t>
  </si>
  <si>
    <t xml:space="preserve">Portugal </t>
  </si>
  <si>
    <t xml:space="preserve">65 år og over </t>
  </si>
  <si>
    <t>55-64 år</t>
  </si>
  <si>
    <t>45-54 år</t>
  </si>
  <si>
    <t>30-44 år</t>
  </si>
  <si>
    <t>25-29 år</t>
  </si>
  <si>
    <t>20-24 år</t>
  </si>
  <si>
    <t>15-19 år</t>
  </si>
  <si>
    <t xml:space="preserve">EU27 </t>
  </si>
  <si>
    <t xml:space="preserve">Timeverk per sysselsatt </t>
  </si>
  <si>
    <t xml:space="preserve">Ungarn </t>
  </si>
  <si>
    <t>EU27</t>
  </si>
  <si>
    <t xml:space="preserve">Polen </t>
  </si>
  <si>
    <t xml:space="preserve">Litauen </t>
  </si>
  <si>
    <t xml:space="preserve">Slovenia </t>
  </si>
  <si>
    <t>Spania</t>
  </si>
  <si>
    <t xml:space="preserve">Nederland </t>
  </si>
  <si>
    <t>Andel sysselsatte som jobber deltid. Personer 20-64 år. Prosent. 2023</t>
  </si>
  <si>
    <t>Total deltid</t>
  </si>
  <si>
    <t>Kun sysselsatte</t>
  </si>
  <si>
    <t>Sysselsatte og mottar AFP/ alderspensjon</t>
  </si>
  <si>
    <t>Sysselsatte og mottar uføretrygd</t>
  </si>
  <si>
    <t>Sysselsatte og mottar arbeidsavklaringspenger</t>
  </si>
  <si>
    <t>Sysselsatte og under ordinær utdanning</t>
  </si>
  <si>
    <t>Sysselsatte ellers</t>
  </si>
  <si>
    <t>55-61 år</t>
  </si>
  <si>
    <t>30-54 år</t>
  </si>
  <si>
    <t>15 år eller eldre</t>
  </si>
  <si>
    <t>Universitets- og høgskolenivå, lang</t>
  </si>
  <si>
    <t>Universitets- og høgskolenivå, kort</t>
  </si>
  <si>
    <t>Fagskolenivå</t>
  </si>
  <si>
    <t>Videregående skolenivå</t>
  </si>
  <si>
    <t>Grunnskolenivå</t>
  </si>
  <si>
    <t>Utdanningsnivå i befolkningen. Personer 25-66 år. Prosent</t>
  </si>
  <si>
    <t xml:space="preserve">Danmark </t>
  </si>
  <si>
    <t xml:space="preserve">Sverige </t>
  </si>
  <si>
    <t xml:space="preserve">Tyskland </t>
  </si>
  <si>
    <t xml:space="preserve">Norge </t>
  </si>
  <si>
    <t xml:space="preserve">EU25 </t>
  </si>
  <si>
    <t xml:space="preserve">Høyere utdanning </t>
  </si>
  <si>
    <t xml:space="preserve">Grunnskole </t>
  </si>
  <si>
    <t>Universitets- og høgskolenivå</t>
  </si>
  <si>
    <t>I alt</t>
  </si>
  <si>
    <t>Befolkningen eksklusive innvandrere</t>
  </si>
  <si>
    <t xml:space="preserve"> Sysselsetting etter utdanningslengde. Personer 30-61 år. Prosent. 2008-2022.</t>
  </si>
  <si>
    <t>Over 60 år</t>
  </si>
  <si>
    <t>45-59 år</t>
  </si>
  <si>
    <t>Under 30 år</t>
  </si>
  <si>
    <t>Storbritannia</t>
  </si>
  <si>
    <t>Endring 2011-2021</t>
  </si>
  <si>
    <t>Endring 2000-2011</t>
  </si>
  <si>
    <t>Nivå 2000</t>
  </si>
  <si>
    <t>Nettoinnvandring</t>
  </si>
  <si>
    <t>Utvandring</t>
  </si>
  <si>
    <t>Innvandring</t>
  </si>
  <si>
    <t>Andre land</t>
  </si>
  <si>
    <t>Asia og Afrika</t>
  </si>
  <si>
    <t>Nye EU-land etter 2004</t>
  </si>
  <si>
    <t>EU/EFTA fram til 2004 utenom Norden</t>
  </si>
  <si>
    <t>Norden utenom Norge</t>
  </si>
  <si>
    <t>Innvandrere i alt</t>
  </si>
  <si>
    <t>Ikke-bosatte I alt</t>
  </si>
  <si>
    <t xml:space="preserve">Andre land </t>
  </si>
  <si>
    <t xml:space="preserve">Vest-Europa ellers </t>
  </si>
  <si>
    <t xml:space="preserve">EU land i Øst-Europa </t>
  </si>
  <si>
    <t xml:space="preserve">Norden </t>
  </si>
  <si>
    <t>Figur 1.1</t>
  </si>
  <si>
    <t>Innvandrere etter landbakgrunn. Andel av alle sysselsatte. 15-74 år. Prosent</t>
  </si>
  <si>
    <t>Figur 1.2</t>
  </si>
  <si>
    <t>Figur 1.3</t>
  </si>
  <si>
    <t>Andel årsverk under 2/3M. Alle og kun i jobb. Prosent.  1997-2023</t>
  </si>
  <si>
    <t>Figur 1.4</t>
  </si>
  <si>
    <t>Lavlønnsforekomst etter næring. Årsverk. Kun i jobb. Prosent. 2022</t>
  </si>
  <si>
    <t>Figur 1.5</t>
  </si>
  <si>
    <t>Lavlønnsforekomst i ulike grupper med høy forekomst av lavlønn. Årsverk. Kun i jobb. Prosent. 2022</t>
  </si>
  <si>
    <t>Figur 1.6</t>
  </si>
  <si>
    <t>Andel av sysselsatte etter tilknytningsform i hovedarbeidsforhold. Personer 20-66 år. Prosent. 1995-2021/2022</t>
  </si>
  <si>
    <t xml:space="preserve">EU/EFTA fram til 2004 </t>
  </si>
  <si>
    <t>P90/P10</t>
  </si>
  <si>
    <t>P50/P10</t>
  </si>
  <si>
    <t>Kun i jobb, andel årsverk under 2/3M</t>
  </si>
  <si>
    <t>Alle, andel årsverk under 2/3M</t>
  </si>
  <si>
    <t>Andel årsverk under 2/3M. Alle og kun i jobb. Prosent. 1997–2023</t>
  </si>
  <si>
    <t xml:space="preserve">Figur 1.3 </t>
  </si>
  <si>
    <t>B Jordbruk, skogbruk og fiske unntatt akvakultur</t>
  </si>
  <si>
    <t>Gjennomsnitt</t>
  </si>
  <si>
    <t>Kun grunnskole</t>
  </si>
  <si>
    <t xml:space="preserve">Total andel atypisk </t>
  </si>
  <si>
    <t xml:space="preserve">Kapittel 4: Den norske arbeidslivsmodellen </t>
  </si>
  <si>
    <t>Figur 4.1</t>
  </si>
  <si>
    <t xml:space="preserve">Lederes vurdering av samarbeidsforholdene på arbeidsplassene </t>
  </si>
  <si>
    <t>Figur 4.2</t>
  </si>
  <si>
    <t>Organisasjonsgraden i Norge etter hovedorganisasjon. Prosent. 1972-2022</t>
  </si>
  <si>
    <t>Figur 4.3</t>
  </si>
  <si>
    <t xml:space="preserve">Organisasjonsgrad arbeidsgivere </t>
  </si>
  <si>
    <t>Figur 4.4</t>
  </si>
  <si>
    <t>Tariffavtaledekning</t>
  </si>
  <si>
    <t>Figur 4.5</t>
  </si>
  <si>
    <t>Figur 4.6</t>
  </si>
  <si>
    <t>Organisasjonsgrad på arbeidsgiversiden etter hovedorganisasjon. Privat sektor. Prosent. 1965-2022.</t>
  </si>
  <si>
    <t>Figur 4.7</t>
  </si>
  <si>
    <t xml:space="preserve">Organisasjonsgrad arbeidsgivere. Prosent av arbeidsgivere i privat sektor. 2000 eller nærmeste år og seneste år tilgjengelig </t>
  </si>
  <si>
    <t>Figur 4.8</t>
  </si>
  <si>
    <t xml:space="preserve">Andel arbeidstakere i virksomhet med tariffavtale. 2021. </t>
  </si>
  <si>
    <t>Figur 4.9</t>
  </si>
  <si>
    <t>Tariffavtaledekning. OECD-gjennomsnittet og nordiske land. Prosent av arbeidstakere med rett til å forhandle. 1985 – 2017</t>
  </si>
  <si>
    <t>New Zealand</t>
  </si>
  <si>
    <t>Japan</t>
  </si>
  <si>
    <t>Svergie</t>
  </si>
  <si>
    <t>Luxemburg</t>
  </si>
  <si>
    <t>Canada</t>
  </si>
  <si>
    <t>Israel</t>
  </si>
  <si>
    <t>Costa Rica</t>
  </si>
  <si>
    <t>Tsjekkia</t>
  </si>
  <si>
    <t>Chile</t>
  </si>
  <si>
    <t>Mexico</t>
  </si>
  <si>
    <t>Colombia</t>
  </si>
  <si>
    <t>Tyrkia</t>
  </si>
  <si>
    <t>Korea</t>
  </si>
  <si>
    <t>2010-11</t>
  </si>
  <si>
    <t>2006-07</t>
  </si>
  <si>
    <t>Frittstående</t>
  </si>
  <si>
    <t>Akademikerne</t>
  </si>
  <si>
    <t>Unio</t>
  </si>
  <si>
    <t>AF</t>
  </si>
  <si>
    <t>YS</t>
  </si>
  <si>
    <t>LO</t>
  </si>
  <si>
    <t xml:space="preserve">Figur 4.2 </t>
  </si>
  <si>
    <t>Organisasjonsgrad arbeidstakere. Prosent. 1960-2018</t>
  </si>
  <si>
    <t xml:space="preserve">Figur 4.3 </t>
  </si>
  <si>
    <t xml:space="preserve">Statlig sektor </t>
  </si>
  <si>
    <t xml:space="preserve">Kommunal sektor </t>
  </si>
  <si>
    <t>Offentlig sektor i alt</t>
  </si>
  <si>
    <t xml:space="preserve">Tjenesteyting </t>
  </si>
  <si>
    <t xml:space="preserve">Vareproduksjon </t>
  </si>
  <si>
    <t>Privat sektor i alt</t>
  </si>
  <si>
    <t>Organisasjonsgrad etter sektor. Prosent</t>
  </si>
  <si>
    <t xml:space="preserve">Offentlig administrasjon </t>
  </si>
  <si>
    <t>Undervisning</t>
  </si>
  <si>
    <t>Elektrisitetsforsyning</t>
  </si>
  <si>
    <t xml:space="preserve">Bergverk og utvinning </t>
  </si>
  <si>
    <t xml:space="preserve">Helse- og sosialtjenester </t>
  </si>
  <si>
    <t xml:space="preserve">Finansierings- og forsikringsvirksomhet </t>
  </si>
  <si>
    <t xml:space="preserve">Vannforsyning, avløp og renovasjon </t>
  </si>
  <si>
    <t xml:space="preserve">Industri </t>
  </si>
  <si>
    <t xml:space="preserve">Transport og lagring </t>
  </si>
  <si>
    <t xml:space="preserve">Faglig, vitenskapelig og teknisk tjensteyting </t>
  </si>
  <si>
    <t xml:space="preserve">Annen tjenesteyting </t>
  </si>
  <si>
    <t xml:space="preserve">Informasjon og kommunikasjon </t>
  </si>
  <si>
    <t xml:space="preserve">Forretningsmessig tjenesteryting </t>
  </si>
  <si>
    <t>Kultur, underholdning, fritidsaktiviteter</t>
  </si>
  <si>
    <t xml:space="preserve">Varehandel, reparasjon av motorvogner </t>
  </si>
  <si>
    <t>Jordbruk, skogbruk og fiske</t>
  </si>
  <si>
    <t>Overnatting- og serveringsvirksomhet</t>
  </si>
  <si>
    <t xml:space="preserve">Omsetning og drift av fast eiendom </t>
  </si>
  <si>
    <t>Organisasjonsgrad</t>
  </si>
  <si>
    <t xml:space="preserve">Øvrige </t>
  </si>
  <si>
    <t xml:space="preserve">Spekter </t>
  </si>
  <si>
    <t xml:space="preserve">HA/Virke </t>
  </si>
  <si>
    <t>N.A.F./NHO</t>
  </si>
  <si>
    <t>Seneste år tilgjengelig</t>
  </si>
  <si>
    <t>2000 eller nærmeste år</t>
  </si>
  <si>
    <t xml:space="preserve">Elektrisistetsforsyning </t>
  </si>
  <si>
    <t xml:space="preserve">Bygge- og anleggsvirksomhet </t>
  </si>
  <si>
    <t xml:space="preserve">Undervisning </t>
  </si>
  <si>
    <t xml:space="preserve">Forretningsmessig tjenesteyting </t>
  </si>
  <si>
    <t xml:space="preserve">Overnattings- og serveringsvirksomhet </t>
  </si>
  <si>
    <t xml:space="preserve">Faglig, vitenskaplig og teknisk tjenesteyting </t>
  </si>
  <si>
    <t xml:space="preserve">Figur 4.9 </t>
  </si>
  <si>
    <t>Kapittel 1: Innledning og oppsummering</t>
  </si>
  <si>
    <t>Kapittel 3: Internasjonale utviklingstrekk med betydning for norsk lønnsdannelse</t>
  </si>
  <si>
    <t>Kapitttel 5: Sentrale trekk ved det norske arbeidsmarkedet</t>
  </si>
  <si>
    <t>Figurer til kapittel 9: Økonomisk forskning om makt og markdsforhold i arbeidslivet</t>
  </si>
  <si>
    <t>Singapore</t>
  </si>
  <si>
    <t>Kanada</t>
  </si>
  <si>
    <t>Australia</t>
  </si>
  <si>
    <t>Andel sysselsatte som er tilknyttet konsentrerte arbeidsmarkeder i privat sektor. Prosent. 2019</t>
  </si>
  <si>
    <t>Høyt</t>
  </si>
  <si>
    <t>Middels</t>
  </si>
  <si>
    <t>Lavt</t>
  </si>
  <si>
    <t>Figurer til kapittel 10:  Den norske lønnsdannelsen og lavlønn</t>
  </si>
  <si>
    <t xml:space="preserve">Figur 10.1 </t>
  </si>
  <si>
    <t>Figur 10.2</t>
  </si>
  <si>
    <t>Tariffavtalte minstelønnssatser i utvalgte yrker sammenlignet med 2/3M og 85Ind. Kroner. 2023</t>
  </si>
  <si>
    <t>Figur 10.3</t>
  </si>
  <si>
    <t>Figur 10.4</t>
  </si>
  <si>
    <t>Andel av spurte virksomheter uten tariffavtale som svarer at det finnes en tariffavtale i bransjen
som virksomheten helt eller delvis følger. Prosent. 2020/2021</t>
  </si>
  <si>
    <t>Figur 10.5</t>
  </si>
  <si>
    <t>Figur 10.6</t>
  </si>
  <si>
    <t>Fagforeningsgrad etter lønnsdesil. Personer kun i jobb og uten lærlinger. Prosent. 2021</t>
  </si>
  <si>
    <t>Figur 10.7</t>
  </si>
  <si>
    <t>Begrunnelser for medlemsskap i en fagforening. Prosent. 2019</t>
  </si>
  <si>
    <t>Figur 10.8</t>
  </si>
  <si>
    <t>Begrunnelser for ikke å være medlem i en fagforening. Prosent. 2019</t>
  </si>
  <si>
    <t>Figur 10.9</t>
  </si>
  <si>
    <t>Årsak til at en virksomhet er medlem av en arbeidsgiverorganisasjon. Prosent. 2020/2021</t>
  </si>
  <si>
    <t>Figur 10.10</t>
  </si>
  <si>
    <t>Årsak til at en virksomhet ikke er medlem av en arbeidsgiverorganisasjon. Prosent. 2020/2021</t>
  </si>
  <si>
    <t>Figur 10.11</t>
  </si>
  <si>
    <t>Virksomhetenes holdninger til tariffavtaler. Prosent. 2020/2021</t>
  </si>
  <si>
    <t>Figur 10.12</t>
  </si>
  <si>
    <t>Figur 10.14</t>
  </si>
  <si>
    <t>Figur 10.15</t>
  </si>
  <si>
    <t>Allmenngjorte lønnssatser og lavlønnsgrenser. Beregnet avtalt årslønn. Kroner. 2023</t>
  </si>
  <si>
    <t>Figur 10.16</t>
  </si>
  <si>
    <t>Lovfestet minstelønn som andel av medianlønn. Heltidsansatte. Prosent. 2022</t>
  </si>
  <si>
    <t>Figur 10.17</t>
  </si>
  <si>
    <t>Nivået på lovfestet minstelønn. Kjøpekraftsjustert timelønn. Dollar. 2022</t>
  </si>
  <si>
    <t>Figur 10.1</t>
  </si>
  <si>
    <t xml:space="preserve">Industrifunksjonærer, NHO-bedrifter </t>
  </si>
  <si>
    <t xml:space="preserve">Spekter, øvrige virksomheter </t>
  </si>
  <si>
    <t xml:space="preserve">Finanstjenester </t>
  </si>
  <si>
    <t xml:space="preserve">Virke-bedrifter i varehandel </t>
  </si>
  <si>
    <t xml:space="preserve">Spekter, helseforetak </t>
  </si>
  <si>
    <t xml:space="preserve">Kommunene </t>
  </si>
  <si>
    <t xml:space="preserve">Staten </t>
  </si>
  <si>
    <t xml:space="preserve">Figur 10.2 </t>
  </si>
  <si>
    <t>Hjelpearbeider frisør- høyeste sats (NHO)</t>
  </si>
  <si>
    <t>Varehandelen - lønnstrinn 1 (Virke)</t>
  </si>
  <si>
    <t xml:space="preserve">Butikkpersonell bensinstasjoner 0 år (Virke) </t>
  </si>
  <si>
    <t xml:space="preserve">Assistent i barnehage  0 år (NHO) </t>
  </si>
  <si>
    <t>Avisbudavtalen (NHO)</t>
  </si>
  <si>
    <t>Stillinger i kommunen uten særskilt krav til utdanning 0 år (KS)</t>
  </si>
  <si>
    <t>Frisør m/ svennebrev 0-2 år (NHO)</t>
  </si>
  <si>
    <t>Assistent i barnehage  8 år (NHO)</t>
  </si>
  <si>
    <t>Butikkpersonell på bensinstasjon 5 år (Virke)</t>
  </si>
  <si>
    <t>Assistent i barnehage 0-3 år (PBL-barnehager)</t>
  </si>
  <si>
    <t>Frisør m/svennebrev 2-5 år (NHO)</t>
  </si>
  <si>
    <t>Stillinger i kommunen uten særskilt krav til utdanning, 8 år (KS)</t>
  </si>
  <si>
    <t>Overnatting, servering og catering (NHO)</t>
  </si>
  <si>
    <t>Ansatt på sykehus uten særskilt krav til utdanning 0 år (Spekter)</t>
  </si>
  <si>
    <t>Kokker u/fagbrev (NHO)</t>
  </si>
  <si>
    <t>Ansatt på sykehus uten særskilt krav til utdanning 6 år (Spekter)</t>
  </si>
  <si>
    <t>Frisør m/svennebrev 5-10 år (NHO)</t>
  </si>
  <si>
    <t>Ansatt på sykehus uten særskilt krav til utdanning 8 år (Spekter)</t>
  </si>
  <si>
    <t xml:space="preserve">Fagarbeidere og barnepleiere (NHO) </t>
  </si>
  <si>
    <t>Kokker m/fagbrev (NHO)</t>
  </si>
  <si>
    <t>Vekter 0-1 år (NHO)</t>
  </si>
  <si>
    <r>
      <t>Stillinger på sykehus hvor det som hovedregel kreves^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fagarbeiderutdanning eller 3 års videregående utdanning 0 år (SPEKTER)</t>
    </r>
  </si>
  <si>
    <t>Fagarbeiderstillinger/tilsvarende i kommunen 0 år (KS)</t>
  </si>
  <si>
    <t>Vekter 1-3 år (NHO)</t>
  </si>
  <si>
    <t>Frisør m/svennebrev 10 år+ (NHO)</t>
  </si>
  <si>
    <t>Varehandelen - lønnstrinn 6 (Virke)</t>
  </si>
  <si>
    <t>Stillinger i kommunen uten særskilt krav til utdanning, 16 år+ (KS)</t>
  </si>
  <si>
    <t xml:space="preserve">Figur 10.3 </t>
  </si>
  <si>
    <t>Laveste tariffsats som andel av gjennomsnittslønn. Etter næring. Prosent. 2023</t>
  </si>
  <si>
    <t>Bygg</t>
  </si>
  <si>
    <t>Handel</t>
  </si>
  <si>
    <t>Hotel og restaurant</t>
  </si>
  <si>
    <t>Renhold</t>
  </si>
  <si>
    <t xml:space="preserve">Ja (helt eller delvis) </t>
  </si>
  <si>
    <t xml:space="preserve">Nei </t>
  </si>
  <si>
    <t xml:space="preserve">Ikke sikker </t>
  </si>
  <si>
    <t xml:space="preserve">I alt </t>
  </si>
  <si>
    <t xml:space="preserve">NHO </t>
  </si>
  <si>
    <t xml:space="preserve">Virke </t>
  </si>
  <si>
    <t xml:space="preserve">Andre </t>
  </si>
  <si>
    <t xml:space="preserve">Ikke organisert </t>
  </si>
  <si>
    <t>Organisasjonsgrad i laveste inntektskvintil (prosent) og lønnsulikhet. 2007</t>
  </si>
  <si>
    <t xml:space="preserve">Frankrike </t>
  </si>
  <si>
    <t xml:space="preserve">Sveits </t>
  </si>
  <si>
    <t xml:space="preserve">Belgia </t>
  </si>
  <si>
    <t xml:space="preserve">Finland </t>
  </si>
  <si>
    <t xml:space="preserve">Desiler </t>
  </si>
  <si>
    <t>Viktig (svært og nokså)</t>
  </si>
  <si>
    <t xml:space="preserve">Verken viktig eller uviktig </t>
  </si>
  <si>
    <t>Uviktig (nokså lite og ikke viktig)</t>
  </si>
  <si>
    <t>Ikke sikker</t>
  </si>
  <si>
    <t>Fordi det er vanlig på min arbeidsplass</t>
  </si>
  <si>
    <t xml:space="preserve">Fordi det er vanlig i mitt yrke eller min profesjon </t>
  </si>
  <si>
    <t>Fordi jeg får medlemsgoder som forsikringer, rabattordninger og fagblader</t>
  </si>
  <si>
    <t>Forid jeg mener det er riktig å være fagorganisert</t>
  </si>
  <si>
    <t>Fordi fagforeningene gjør en viktig jobb på arbeidsplassene</t>
  </si>
  <si>
    <t>Fordi jeg kan få hjelp hvis jeg får problemer på arbeidsplassen</t>
  </si>
  <si>
    <t xml:space="preserve">Viktig (svært og nokså) </t>
  </si>
  <si>
    <t>Verken viktig eller uviktig (inkl ikke sikker)</t>
  </si>
  <si>
    <t>Arbeidsgiver motarbeider ansatte som er organisert</t>
  </si>
  <si>
    <t>Det er ingen fagforening på min arbeidsplass</t>
  </si>
  <si>
    <t>Jeg er usikker på  om jeg kommer tl å fortsette på denne arbeidsplassen</t>
  </si>
  <si>
    <t>Fagforeningsmedlemsskap er for dyrt</t>
  </si>
  <si>
    <t xml:space="preserve">Jeg mener at arbeidstakerorganisdasoner er unødvendige i dagens arbeidsiv </t>
  </si>
  <si>
    <t>Jeg har ikke funnet en organisasjoin som passer for meg</t>
  </si>
  <si>
    <t>Jeg får de samme fordelene uten å være organisert</t>
  </si>
  <si>
    <t>Jeg ønsker å ivareta interessene mine selv</t>
  </si>
  <si>
    <t>Med tariffavtale</t>
  </si>
  <si>
    <t>Uten tariffavtale</t>
  </si>
  <si>
    <t xml:space="preserve">For å få tilgang til medlemsgoder som innkjøpsordninger, kurs og konferanser </t>
  </si>
  <si>
    <t xml:space="preserve">For å kunne påvirke lønnsoppgjørene og innholdet i tarifavtalene </t>
  </si>
  <si>
    <t>For å kunne påvirke rammevillkårene for arbeidsgivere</t>
  </si>
  <si>
    <t xml:space="preserve">Fordi organisasjonen er en viktig aktør når det gjelder nærings-og bransjepolitikken </t>
  </si>
  <si>
    <t xml:space="preserve">Fordi vi ønsker å være en del av et bransjefellesskap </t>
  </si>
  <si>
    <t>For å få rådgivning i andre arbeidsgiverspørsmål, for eksempåle oppsigelser</t>
  </si>
  <si>
    <t>For å få støtte og veiledning i spørsmål som gjelder tariffavtalen</t>
  </si>
  <si>
    <t xml:space="preserve">For å støtte opp under et organisert arbeidsliv </t>
  </si>
  <si>
    <t>Ikke viktig (1 eller 2)</t>
  </si>
  <si>
    <t>Viktig (4 eller 5)</t>
  </si>
  <si>
    <t>Vi er for små til at vi kan dra nytte av medlemsskapet</t>
  </si>
  <si>
    <t>VI har ikke behov for de tjenestene organisasjonene tilbyr</t>
  </si>
  <si>
    <t>Ingen har spurt opss</t>
  </si>
  <si>
    <t xml:space="preserve">Arbeidsgivrerorganisering er ikke vanlig i vår bransje </t>
  </si>
  <si>
    <t xml:space="preserve">Det er for dyrt å være medlem </t>
  </si>
  <si>
    <t xml:space="preserve">Det er ingen organisasjoner vi føler oss hjemme i </t>
  </si>
  <si>
    <t xml:space="preserve">Vi vil unngå å få tariffavtale </t>
  </si>
  <si>
    <t>En tariffavtale gir/ville gitt for høyt lønnsnivå</t>
  </si>
  <si>
    <t xml:space="preserve">En tariffavtale gjør/ville gjøre det lettere å leie inn arbeidstakere fra bemanningsforetak </t>
  </si>
  <si>
    <t xml:space="preserve">En stor ulempe ved en tariffavtale er at virksomheten blir/ville blitt omfattet av avtalefestet pensjon, AFP </t>
  </si>
  <si>
    <t xml:space="preserve">En tariffavtale er/ville vært  komplisert og kreve mye administrasjon </t>
  </si>
  <si>
    <t xml:space="preserve">En tariffavtale ville gitt virksomheten for høyt kostnadsnivå </t>
  </si>
  <si>
    <t>En tariffavtale gjør/ville gjøre det vanskelig å tilpasse arbeidstidens lengde og plassering våre behov</t>
  </si>
  <si>
    <t>En tariffavtale gjør/ville gjøre det vanskelig å bruke lønn som belønning for godt arbeid</t>
  </si>
  <si>
    <t xml:space="preserve">En tariffavtale gir/ville gitt en ferdig pakke av lønns- og arbeidsvillkår som ville vært ressurssparende for virksomhetene å forholde seg til </t>
  </si>
  <si>
    <t>Å være bundet av tariffavtale gir/ville gitt virksomhetene et godt omdømme</t>
  </si>
  <si>
    <t>En tariffavtale forbedrer/ville forberede forholdet til de ansatte siden den gir faste regler som vi kan forholde oss til</t>
  </si>
  <si>
    <t>Omfattende og tilnærmet automatisk</t>
  </si>
  <si>
    <t>Vanlig i mange næringer</t>
  </si>
  <si>
    <t>Unntaksvis i noen næringer</t>
  </si>
  <si>
    <t>Ingen</t>
  </si>
  <si>
    <t>Persontransport med turbil</t>
  </si>
  <si>
    <t>Fiskeribedrifter</t>
  </si>
  <si>
    <t>Skips- og verfsindustrien</t>
  </si>
  <si>
    <t>Godstransport på vei</t>
  </si>
  <si>
    <t>Renholdsbransjen</t>
  </si>
  <si>
    <t>Elektrofagene</t>
  </si>
  <si>
    <t>Overnatting, servering og cateringvirksomhet</t>
  </si>
  <si>
    <t>Byggeplasser</t>
  </si>
  <si>
    <t>Jordbruk mm., sesongsarbeid erfaring under 12 uker</t>
  </si>
  <si>
    <t>Jordbruk mm., sesongsarbeid erfaring over 12 uker</t>
  </si>
  <si>
    <t xml:space="preserve">Jordbruk mm., fast ansatt ufaglært </t>
  </si>
  <si>
    <t xml:space="preserve">Verft, hjelpearbeider </t>
  </si>
  <si>
    <t>Overnatting, servering og catering, over 20 år</t>
  </si>
  <si>
    <t>Verft, spesialarbeider</t>
  </si>
  <si>
    <t>2/3 av medianlønn (alle jobber)</t>
  </si>
  <si>
    <t>Jordbruk mm., fast ansatt fagarbeider</t>
  </si>
  <si>
    <t>Verft, fagarbeider</t>
  </si>
  <si>
    <t>Fiskeindustrien, produksjonsarbeidere</t>
  </si>
  <si>
    <t>Elektro, annet enn fagarbeider</t>
  </si>
  <si>
    <t>Byggeplass, ufaglært uten erfaring</t>
  </si>
  <si>
    <t>Renhold, over 18 år</t>
  </si>
  <si>
    <t>Fiskeindustrien, fagarbeider</t>
  </si>
  <si>
    <t>85 pst. av gjennomsnittlig industriarbeiderlønn</t>
  </si>
  <si>
    <t>Byggeplass, ufaglært med 1 år erfaring</t>
  </si>
  <si>
    <t>Byggeplass, fagarbeider</t>
  </si>
  <si>
    <t>Elektro, fagarbeider</t>
  </si>
  <si>
    <t>Luxembourg</t>
  </si>
  <si>
    <t>Kroatia</t>
  </si>
  <si>
    <t>Bulgaria</t>
  </si>
  <si>
    <t>Figurer til kapittel 11: Utvalgets tilrådning om tiltak og indikatorer</t>
  </si>
  <si>
    <t>Figur 11.1</t>
  </si>
  <si>
    <t>Figur 11.2</t>
  </si>
  <si>
    <t xml:space="preserve">Andel av lønnssum etter lønnsdesil. Årsverk. Alle jobber. Prosent. 2023 </t>
  </si>
  <si>
    <t>Figur 11.3</t>
  </si>
  <si>
    <t>Andel i prosent og antall årsverk under utvalgte grenseverdier for lav lønn. Kun i jobb. 2022</t>
  </si>
  <si>
    <t>Figur 11.4</t>
  </si>
  <si>
    <t>Andel årsverk og andel jobber under 2/3 av medianlønn. Alle og kun i jobb. Prosent.
1997–2022/2023</t>
  </si>
  <si>
    <t>Desil 1</t>
  </si>
  <si>
    <t>Desil 2</t>
  </si>
  <si>
    <t>Desil 3</t>
  </si>
  <si>
    <t>Desil 4</t>
  </si>
  <si>
    <t>Desil 5</t>
  </si>
  <si>
    <t>Desil 6</t>
  </si>
  <si>
    <t>Desil 7</t>
  </si>
  <si>
    <t>Desil 8</t>
  </si>
  <si>
    <t>Desil 9</t>
  </si>
  <si>
    <t>Desil 10</t>
  </si>
  <si>
    <t>Grenseverdi P20</t>
  </si>
  <si>
    <t xml:space="preserve">Alle, andel årsverk </t>
  </si>
  <si>
    <t xml:space="preserve">Alle, andel jobber </t>
  </si>
  <si>
    <t>Kun i jobb, andel jobber</t>
  </si>
  <si>
    <t xml:space="preserve">2017-18 </t>
  </si>
  <si>
    <t>Organisasjonsgrad etter næring. Bosatte lønnstakere i hovedarbeidsforhold. Prosent. 2020</t>
  </si>
  <si>
    <t>Tariffavtaledekning. OECD-gjennomsnittet og nordiske land. Prosent av arbeidstakere med rett til å forhandle 1985 – 2017</t>
  </si>
  <si>
    <t>Andel arbeidstakere i virksomhet med tariffavtale. 2021</t>
  </si>
  <si>
    <t>Sysselsettingsandel. Personer 15–24 år. Prosent. 2023</t>
  </si>
  <si>
    <t>Sysselsattingandel. Personer 20–64 år. Prosent. 1997-2023</t>
  </si>
  <si>
    <t>Fordeling av andel sysselsatte personer etter foretaksstørrelse. 15–74 år. Prosent. 2021</t>
  </si>
  <si>
    <t>Sentralitet og de sysselsattes areidssted. Personer 15–74 år. Antall og andel i prosent.  2023</t>
  </si>
  <si>
    <t>Andel sysselsatte i yrker med enkle og rutinemessige oppgaver. Personer 20–64 år. Prosent</t>
  </si>
  <si>
    <t>Sysselsettingsandel. Personer 15–4 år. Prosent. 2023</t>
  </si>
  <si>
    <t>Sysselsettingsandel. Personer 55–64 år. Prosent. 2023</t>
  </si>
  <si>
    <t>Utdanningsnivå i Norge sammenlignet med andre land. Personer 25–64 år. Prosent.  2022</t>
  </si>
  <si>
    <t>Sysselsetting etter utdanningslengde. Personer 30–61 år. Prosent. 2008-2022.</t>
  </si>
  <si>
    <t>Fordeling av utdanningsnivå blant sysselsatte. Personer 15–74 år. Prosent</t>
  </si>
  <si>
    <t>Andel sysselsatte innvandrere av alle sysselsatte personer. Innvandrere i alt og etter landbakgrunn.15–74 år. Prosent</t>
  </si>
  <si>
    <t>Sysselsettingsandel. 15 - 64 år</t>
  </si>
  <si>
    <t>Andel av sysselsatte personer som jobber deltid i Norge, totalt og etter kort og lang deltid. Personer
15–74 år. Prosent. 1996–2023</t>
  </si>
  <si>
    <t>Andel av alle sysselsatte personer fordelt etter kombinasjoner av arbeid, ytelser og utdanning og etter alder. Prosent. 2022</t>
  </si>
  <si>
    <t>Utdanningsnivå i befolkningen. Personer 25–66 år. Prosent</t>
  </si>
  <si>
    <t>Andel utenlandsfødte i befolkningen. Nivå 2000 (eller 2001) og endring til 2011 og 2021</t>
  </si>
  <si>
    <t>Høye og middels lønninger sammenlignet 
med lave lønninger. Alle jobber. Forholdstall</t>
  </si>
  <si>
    <t>Andel sysselsatte etter kompetansenivå (lavt, middels, høyt) som er tilknyttet konsentrerte arbeidsmarkeder i privat sektor. Prosent. 2019</t>
  </si>
  <si>
    <t>Figur 9.3</t>
  </si>
  <si>
    <t>Figur 9.4</t>
  </si>
  <si>
    <t>Lønnsfordeling. Årsverk. Kun i jobb, uten lærlinger. Andel i prosent per 60 000-kroners intervall. 2022</t>
  </si>
  <si>
    <t>Figurer til kapittel 6: Lavlønn i Norge</t>
  </si>
  <si>
    <t>Figur 6.1</t>
  </si>
  <si>
    <t>Fordeling av årslønn. Årsverk. Alle jobber. Andel i prosent per 66 000-kroners intervall. 2023</t>
  </si>
  <si>
    <t>Figur 6.2</t>
  </si>
  <si>
    <t>Figur 6.3</t>
  </si>
  <si>
    <t>Gjennomsnittlig årslønn i utvalgte land. Hele økonomien. Kjøpekraftskorrigert i 2022-dollar. 2022</t>
  </si>
  <si>
    <t>Figur 6.4</t>
  </si>
  <si>
    <t>Figur 6.5</t>
  </si>
  <si>
    <t>Gini-koeffisienten for lønn. Alle jobber. 1997 – 2023</t>
  </si>
  <si>
    <t>Figur 6.6</t>
  </si>
  <si>
    <t>Figur 6.7</t>
  </si>
  <si>
    <t>Figur 6.8</t>
  </si>
  <si>
    <t>P90/P10 i utvalgte land. Heltidsansatte. 2019</t>
  </si>
  <si>
    <t>Figur 6.9</t>
  </si>
  <si>
    <t>P50/P10  i utvalgte land. Heltidsansatte. 2019</t>
  </si>
  <si>
    <t>Figur 6.10</t>
  </si>
  <si>
    <t>Andel av jobber, årsverk og lønnssum fordelt på utvalgte grupper av arbeidstakere. Prosent. 2022</t>
  </si>
  <si>
    <t>Figur 6.11</t>
  </si>
  <si>
    <t>Figur 6.12</t>
  </si>
  <si>
    <t>Gini-koeffisienten. Alle og kun i jobb. 1997–2023</t>
  </si>
  <si>
    <t>Figur 6.13</t>
  </si>
  <si>
    <t>Figur 6.14</t>
  </si>
  <si>
    <t>Figur 6.15</t>
  </si>
  <si>
    <t>Figur 6.16</t>
  </si>
  <si>
    <t>Figur 6.17</t>
  </si>
  <si>
    <t>Andel heltidsansatte under 2/3 av medianlønn. Prosent. 2005-2019</t>
  </si>
  <si>
    <t>Figur 6.19</t>
  </si>
  <si>
    <t>Figur 6.20</t>
  </si>
  <si>
    <t>Toårig lavlønn. Andel årsverk under 2/3M. Lønnstakere. Kun i jobb, uten lærlinger. 2017-2022</t>
  </si>
  <si>
    <t>Figur 6.21</t>
  </si>
  <si>
    <t>Reallønnsvekst. Gjennomsnittlig prosentvis endring fra året før. Hele økonomien. Prosent og indeks. 1997-2023</t>
  </si>
  <si>
    <t>Figur 6.22</t>
  </si>
  <si>
    <t>Gjennomsnittlig desilfordelt reallønnsvekst. Alle jobber. Prosent. 1997-2023</t>
  </si>
  <si>
    <t>Figur 6.23</t>
  </si>
  <si>
    <t>Gjennomsnittlig prisvekst fordelt på desiler. Prosent.  2013-2022</t>
  </si>
  <si>
    <t>Figur 6.24</t>
  </si>
  <si>
    <t>Figur 6.25</t>
  </si>
  <si>
    <t>Eurostats indikator for lavinntekt gitt ulik tilknytning til arbeidsmarkedet. Under 65 år. Utvalgte land. Prosent. 2019</t>
  </si>
  <si>
    <t>Figur 6.26</t>
  </si>
  <si>
    <t>Sentralt bestemt lønnsvekst. Andel av total lønnsvekst. Prosent. Gjennomsnitt per år 2012–2022</t>
  </si>
  <si>
    <t>Praktisering av allmenngjøring i OECD-land. Antall land med og uten allmenngjøring etter 
allmenngjøringspraksis. 1995–2019</t>
  </si>
  <si>
    <t>Antall lønnsforhold i allmenngjorte områder. Arbeidstakere 20-60 år. Ikke bosatte lønnstakere er 
inkludert. 2022</t>
  </si>
  <si>
    <t>Industriarbeidere, NHO-bedrifter</t>
  </si>
  <si>
    <t>2/3M av median avtalt årslønn</t>
  </si>
  <si>
    <t>85 prosent av avtalt gjennomsnittlig industriarbeiderlønn</t>
  </si>
  <si>
    <t>Organisasjonsgrad i laveste inntektskvintil</t>
  </si>
  <si>
    <t>Lønnsulikhet P50/P10</t>
  </si>
  <si>
    <t>Jordbruk og gartnerier</t>
  </si>
  <si>
    <t>Andel årsverk og andel jobber under 2/3 av medianlønn. Alle og kun i jobb.  Prosent. 
1997–2022/2023</t>
  </si>
  <si>
    <t>1/2 av medianlønn</t>
  </si>
  <si>
    <t>2/3 av medianlønn</t>
  </si>
  <si>
    <t>2/3 av medianlønn for heltidsansatte</t>
  </si>
  <si>
    <t>85  posent av industriarbeiderlønn</t>
  </si>
  <si>
    <t>Antall årsverk</t>
  </si>
  <si>
    <t>Andel årsverk</t>
  </si>
  <si>
    <t>Kun i jobb, andel årsverk</t>
  </si>
  <si>
    <t>Kort deltid (1-19 timer i uken)</t>
  </si>
  <si>
    <t>Lang deltid (20-36 timer i uken)</t>
  </si>
  <si>
    <t>Andel sysselsatte som jobber deltid i Norge, totalt og etter kort og lang deltid. Personer 15-74 år. Prosent. 1996–2023</t>
  </si>
  <si>
    <t>62 og over</t>
  </si>
  <si>
    <t>Videregående skole</t>
  </si>
  <si>
    <t xml:space="preserve">Universitets- og høgskoleutdanning, 1-4 år </t>
  </si>
  <si>
    <t xml:space="preserve">Universitets- og høgskoleutdanning, over 4 år </t>
  </si>
  <si>
    <t xml:space="preserve">OECD </t>
  </si>
  <si>
    <t>Gjennomsnittlig desilfordelt årslønn. Årsverk i kroner. Alle jobber. Kroner. 2023</t>
  </si>
  <si>
    <t>Utviklingen i et utvalg ulikhetsmål. Alle Jobber. Forholdstall</t>
  </si>
  <si>
    <t>Sosialhjelp blant norsk- og utenlandsfødte i jobb. 19-66 år. 4. kvartal hvert år. Prosent. 2017-2023</t>
  </si>
  <si>
    <t xml:space="preserve">Figur 6.1 </t>
  </si>
  <si>
    <t>Medianlønn</t>
  </si>
  <si>
    <t>Gjennomsnittslønn</t>
  </si>
  <si>
    <t>Gjennomsnittlig årslønn per desil</t>
  </si>
  <si>
    <t xml:space="preserve">Figur 6.2 </t>
  </si>
  <si>
    <t>Gini-koeffisienten</t>
  </si>
  <si>
    <t>Lønnsfordelingen for indeksjuster årslønn i 1997, 2015 og 2023.Årsverk. Alle jobber. Prosent</t>
  </si>
  <si>
    <t>Overføringer</t>
  </si>
  <si>
    <t>Kapitalinntekter</t>
  </si>
  <si>
    <t>Netto næringsinntekter</t>
  </si>
  <si>
    <t xml:space="preserve">Lønnsintekter </t>
  </si>
  <si>
    <t>Årslønn</t>
  </si>
  <si>
    <t>Land</t>
  </si>
  <si>
    <t>2021-2022</t>
  </si>
  <si>
    <t>2020-2021</t>
  </si>
  <si>
    <t>2019-2020</t>
  </si>
  <si>
    <t>2018-2019</t>
  </si>
  <si>
    <t>2017-2018</t>
  </si>
  <si>
    <t>Belgium</t>
  </si>
  <si>
    <t>Poland</t>
  </si>
  <si>
    <t>Veldig lav arbeidsintensitet</t>
  </si>
  <si>
    <t>Veldig høy arbeidsintensitet</t>
  </si>
  <si>
    <t>Arbeid lang deltid/heltid utenlandsfødt</t>
  </si>
  <si>
    <t>Arbeid lang deltid/heltid norskfødt</t>
  </si>
  <si>
    <t>Arbeid kort deltid utenlandsfødt</t>
  </si>
  <si>
    <t>Arbeid kort deltid norskfødt</t>
  </si>
  <si>
    <t>Andel bosatte lønnstakere kun i jobb og over 2/3M grensen og i lavinntektshushold</t>
  </si>
  <si>
    <t>Andel bosatte lønnstakere kun i jobb og under 2/3M grensen og i lavinntektshushold</t>
  </si>
  <si>
    <t>Bosatte lønnstakere var tilknyttet et lavinnteksthushold (E60), henholdsvis av alle lønnstakere med lønn under 2/3M og lønn over 2/3M. Kun i jobb, uten lærlinger. Prosent. 2017–2021</t>
  </si>
  <si>
    <t>2013-2022</t>
  </si>
  <si>
    <t>2019-2022</t>
  </si>
  <si>
    <t>2016-2019</t>
  </si>
  <si>
    <t>2013-2016</t>
  </si>
  <si>
    <t>Desil</t>
  </si>
  <si>
    <t>2015-2023</t>
  </si>
  <si>
    <t>2009-2015</t>
  </si>
  <si>
    <t>2003-2009</t>
  </si>
  <si>
    <t>1997-2003</t>
  </si>
  <si>
    <t>Periode</t>
  </si>
  <si>
    <t>Reallønn, indeksert (2015=100)</t>
  </si>
  <si>
    <t>Reallønnsvekst</t>
  </si>
  <si>
    <t xml:space="preserve">Årslønnsvekst, nominelt </t>
  </si>
  <si>
    <t xml:space="preserve">* omfatter også ikke bosatte arbeidstakere </t>
  </si>
  <si>
    <t>Ukjent status*</t>
  </si>
  <si>
    <t>Selvstendig næringsdrivende</t>
  </si>
  <si>
    <t>Registrert helt arbeidsledig og andre arbeidssøkende</t>
  </si>
  <si>
    <t>Pensjoner</t>
  </si>
  <si>
    <t>Lønnstaker</t>
  </si>
  <si>
    <t>Helserelaterte ytelser</t>
  </si>
  <si>
    <t>Under 2/3M andel</t>
  </si>
  <si>
    <t>Over 2/3M, andel</t>
  </si>
  <si>
    <t>85 prosent av industriarbeiderlønn</t>
  </si>
  <si>
    <t>2/3M heltidsansatte</t>
  </si>
  <si>
    <t xml:space="preserve">1/2 av medianlønn </t>
  </si>
  <si>
    <t>Kun i jobb 1/2M</t>
  </si>
  <si>
    <t xml:space="preserve">85 prosent av industriarbeiderlønn </t>
  </si>
  <si>
    <t>Heltid kun i jobb 2/3M</t>
  </si>
  <si>
    <t>Kun i jobb 2/3M</t>
  </si>
  <si>
    <t xml:space="preserve">Gini, kun i jobb </t>
  </si>
  <si>
    <t>Gini, alle jobber</t>
  </si>
  <si>
    <t>Kun i jobb, uten lærlinger</t>
  </si>
  <si>
    <t>Kun i jobb</t>
  </si>
  <si>
    <t>Under 19 år</t>
  </si>
  <si>
    <t>Pensjoner og de over 70 år</t>
  </si>
  <si>
    <t>Lærling</t>
  </si>
  <si>
    <t>Andre grupper</t>
  </si>
  <si>
    <t>Andre arbeidssøkende</t>
  </si>
  <si>
    <t>Andel lønnssum</t>
  </si>
  <si>
    <t>Andel jobber</t>
  </si>
  <si>
    <t>Arbeidsstyrkestatus</t>
  </si>
  <si>
    <t>OECD-land</t>
  </si>
  <si>
    <t>P50/P05</t>
  </si>
  <si>
    <t>Sammensetning av samlet husholdningsinntekt etter skatt per forbruksenhet (EU-skala). Prosent. 2022</t>
  </si>
  <si>
    <t>Lønnsfordelingen for indeksjustert årslønn i 1997, 2015 og 2023. Årsverk. Alle jobber. Prosent</t>
  </si>
  <si>
    <t>Utviklingen for utvalgte grenseverdier for lav lønn. Årslønn i kroner. Kun i jobb, uten lærlinger. 2017 – 2022</t>
  </si>
  <si>
    <t>Andel og antall (over søylene) årsverk under utvalgte grenseverdier. Kun i jobb, uten lærlinger. 2022</t>
  </si>
  <si>
    <t>Andel årsverk under 2/3 av medianlønn (2/3M). Alle og kun i jobb. Prosent. 1997–2023</t>
  </si>
  <si>
    <t>2/3M-avstanden. Avstanden til 2/3M fra medianinntekten til de under grensen. Kun i jobb. Prosent. 2008-2022</t>
  </si>
  <si>
    <t>Overganger fra arbeidslivet. Status i 2022 for lønnstakere som var kun i jobb i 2017. Kun i jobb, uten lærlinger. Prosent.</t>
  </si>
  <si>
    <t>Nederste del av lønnsfordelingen. Årsverk. Kun i jobb, uten lærlinger og alle. Andel i prosent per 60 000-kroners intervall. 2022</t>
  </si>
  <si>
    <r>
      <t>Andel årsverk under 2/3 av medianlønn (2/3M). Alle og kun i jobb. Prosent. 1997</t>
    </r>
    <r>
      <rPr>
        <i/>
        <sz val="11"/>
        <color theme="1"/>
        <rFont val="Calibri"/>
        <family val="2"/>
        <scheme val="minor"/>
      </rPr>
      <t>–</t>
    </r>
    <r>
      <rPr>
        <b/>
        <sz val="11"/>
        <color theme="1"/>
        <rFont val="Calibri"/>
        <family val="2"/>
        <scheme val="minor"/>
      </rPr>
      <t>2023</t>
    </r>
  </si>
  <si>
    <t>2/3M-avstanden, median</t>
  </si>
  <si>
    <t>Bosatte lønnstakere som var tilknyttet et lavinnteksthushold (E60), henholdsvis av alle lønnstakere med lønn under 2/3M og lønn over 2/3M. Kun i jobb, uten lærlinger. Prosent. 2017–2021</t>
  </si>
  <si>
    <t xml:space="preserve">Dette regnearket inneholder tallene bak figurene i NOU 2024: 11 Lavlønn i Norge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</si>
</sst>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0.0"/>
    <numFmt numFmtId="165" formatCode="0.0\ %"/>
    <numFmt numFmtId="166" formatCode="_-* #,##0_-;\-* #,##0_-;_-* &quot;-&quot;??_-;_-@_-"/>
    <numFmt numFmtId="167" formatCode="_ * #,##0_ ;_ * \-#,##0_ ;_ * &quot;-&quot;??_ ;_ @_ "/>
    <numFmt numFmtId="168" formatCode="_(* #,##0.00_);_(* \(#,##0.00\);_(* &quot;-&quot;??_);_(@_)"/>
    <numFmt numFmtId="169" formatCode="_ * #,##0.0_ ;_ * \-#,##0.0_ ;_ * &quot;-&quot;??_ ;_ @_ "/>
    <numFmt numFmtId="170" formatCode="#,##0.0_ ;\-#,##0.0\ "/>
    <numFmt numFmtId="171" formatCode="#,##0.0"/>
    <numFmt numFmtId="172" formatCode="0.000"/>
    <numFmt numFmtId="173" formatCode="_-* #,##0.00_-;\-* #,##0.00_-;_-* &quot;-&quot;??_-;_-@_-"/>
    <numFmt numFmtId="174" formatCode="_-* #,##0.000_-;\-* #,##0.000_-;_-* &quot;-&quot;??_-;_-@_-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Narrow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Segoe U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name val="Open Sans Semibold"/>
      <family val="2"/>
    </font>
    <font>
      <sz val="9"/>
      <name val="Open Sans"/>
      <family val="2"/>
    </font>
    <font>
      <u/>
      <sz val="11"/>
      <color rgb="FF0563C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Open Sans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000000"/>
      <name val="Open Sans"/>
      <family val="2"/>
    </font>
    <font>
      <sz val="11"/>
      <name val="Calibri 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u/>
      <sz val="10"/>
      <color theme="10"/>
      <name val="Arial"/>
      <family val="2"/>
    </font>
    <font>
      <u/>
      <sz val="9"/>
      <color theme="10"/>
      <name val="Arial Narrow"/>
      <family val="2"/>
    </font>
    <font>
      <sz val="9"/>
      <color theme="1"/>
      <name val="Arial Narrow"/>
      <family val="2"/>
    </font>
    <font>
      <sz val="8"/>
      <color rgb="FF000000"/>
      <name val="Arial Narrow"/>
      <family val="2"/>
    </font>
    <font>
      <sz val="8"/>
      <color rgb="FF000000"/>
      <name val="Calibri"/>
      <family val="2"/>
      <scheme val="minor"/>
    </font>
    <font>
      <b/>
      <sz val="11"/>
      <color rgb="FF002060"/>
      <name val="Arial Narrow"/>
      <family val="2"/>
    </font>
    <font>
      <sz val="10"/>
      <color rgb="FF010000"/>
      <name val="Arial"/>
      <family val="2"/>
    </font>
    <font>
      <sz val="10"/>
      <name val="Calibri"/>
      <family val="2"/>
      <scheme val="minor"/>
    </font>
    <font>
      <sz val="10"/>
      <color rgb="FF010000"/>
      <name val="Calibri"/>
      <family val="2"/>
      <scheme val="minor"/>
    </font>
    <font>
      <b/>
      <sz val="10"/>
      <color rgb="FF010000"/>
      <name val="Calibri"/>
      <family val="2"/>
      <scheme val="minor"/>
    </font>
    <font>
      <b/>
      <sz val="10"/>
      <color rgb="FF010000"/>
      <name val="Arial"/>
      <family val="2"/>
    </font>
    <font>
      <sz val="11"/>
      <color rgb="FF3C3C3B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i/>
      <u/>
      <sz val="11"/>
      <color theme="10"/>
      <name val="Calibri"/>
      <family val="2"/>
      <scheme val="minor"/>
    </font>
    <font>
      <sz val="12"/>
      <color rgb="FF000000"/>
      <name val="Times New Roman"/>
      <family val="1"/>
    </font>
    <font>
      <sz val="8"/>
      <name val="Verdana"/>
      <family val="2"/>
    </font>
    <font>
      <sz val="11"/>
      <color theme="1"/>
      <name val="Calibri "/>
    </font>
    <font>
      <b/>
      <sz val="12"/>
      <color theme="1"/>
      <name val="Times New Roman"/>
      <family val="1"/>
    </font>
    <font>
      <b/>
      <sz val="11"/>
      <color indexed="8"/>
      <name val="Calibri"/>
      <family val="2"/>
      <scheme val="minor"/>
    </font>
    <font>
      <sz val="10"/>
      <color theme="1"/>
      <name val="Open Sans Semibold"/>
      <family val="2"/>
    </font>
    <font>
      <sz val="11"/>
      <color theme="0" tint="-0.3499862666707357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E9ECEF"/>
      </left>
      <right style="medium">
        <color rgb="FFE9ECEF"/>
      </right>
      <top style="medium">
        <color rgb="FFE9ECEF"/>
      </top>
      <bottom style="medium">
        <color rgb="FFE9ECE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theme="4" tint="0.39997558519241921"/>
      </top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Border="0"/>
    <xf numFmtId="0" fontId="2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Border="0" applyAlignment="0"/>
    <xf numFmtId="0" fontId="39" fillId="0" borderId="0"/>
    <xf numFmtId="0" fontId="40" fillId="0" borderId="0"/>
    <xf numFmtId="9" fontId="40" fillId="0" borderId="0" applyFont="0" applyFill="0" applyBorder="0" applyAlignment="0" applyProtection="0"/>
    <xf numFmtId="0" fontId="24" fillId="0" borderId="0" applyBorder="0"/>
    <xf numFmtId="0" fontId="42" fillId="0" borderId="0"/>
    <xf numFmtId="168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2" fillId="0" borderId="0"/>
    <xf numFmtId="0" fontId="4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6" fillId="0" borderId="0"/>
    <xf numFmtId="0" fontId="39" fillId="0" borderId="0"/>
    <xf numFmtId="43" fontId="39" fillId="0" borderId="0" applyFont="0" applyFill="0" applyBorder="0" applyAlignment="0" applyProtection="0"/>
  </cellStyleXfs>
  <cellXfs count="244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vertical="center"/>
    </xf>
    <xf numFmtId="0" fontId="0" fillId="0" borderId="0" xfId="0"/>
    <xf numFmtId="0" fontId="16" fillId="0" borderId="0" xfId="0" applyFont="1"/>
    <xf numFmtId="0" fontId="0" fillId="0" borderId="0" xfId="0" applyFill="1"/>
    <xf numFmtId="0" fontId="24" fillId="0" borderId="0" xfId="42" applyNumberFormat="1" applyFill="1" applyAlignment="1" applyProtection="1"/>
    <xf numFmtId="16" fontId="0" fillId="0" borderId="0" xfId="0" applyNumberForma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16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/>
    <xf numFmtId="0" fontId="34" fillId="0" borderId="0" xfId="0" applyFont="1"/>
    <xf numFmtId="164" fontId="0" fillId="0" borderId="0" xfId="0" applyNumberFormat="1"/>
    <xf numFmtId="164" fontId="14" fillId="0" borderId="0" xfId="0" applyNumberFormat="1" applyFont="1"/>
    <xf numFmtId="0" fontId="24" fillId="0" borderId="0" xfId="42" applyNumberFormat="1" applyFont="1" applyFill="1" applyAlignment="1" applyProtection="1"/>
    <xf numFmtId="0" fontId="25" fillId="0" borderId="0" xfId="42" applyNumberFormat="1" applyFont="1" applyFill="1" applyAlignment="1" applyProtection="1"/>
    <xf numFmtId="0" fontId="24" fillId="0" borderId="0" xfId="42" applyNumberFormat="1" applyFill="1" applyAlignment="1" applyProtection="1">
      <alignment horizontal="right"/>
    </xf>
    <xf numFmtId="164" fontId="24" fillId="0" borderId="0" xfId="42" applyNumberFormat="1" applyFill="1" applyAlignment="1" applyProtection="1"/>
    <xf numFmtId="0" fontId="19" fillId="0" borderId="0" xfId="0" applyFont="1" applyAlignment="1">
      <alignment vertical="top" wrapText="1"/>
    </xf>
    <xf numFmtId="164" fontId="24" fillId="0" borderId="0" xfId="42" applyNumberFormat="1" applyFont="1" applyFill="1" applyAlignment="1" applyProtection="1"/>
    <xf numFmtId="0" fontId="25" fillId="0" borderId="0" xfId="42" applyNumberFormat="1" applyFont="1" applyFill="1" applyAlignment="1" applyProtection="1">
      <alignment horizontal="right"/>
    </xf>
    <xf numFmtId="164" fontId="25" fillId="0" borderId="0" xfId="42" applyNumberFormat="1" applyFont="1" applyFill="1" applyAlignment="1" applyProtection="1"/>
    <xf numFmtId="0" fontId="35" fillId="0" borderId="0" xfId="0" applyFont="1" applyFill="1"/>
    <xf numFmtId="0" fontId="0" fillId="0" borderId="0" xfId="0" applyFont="1" applyFill="1"/>
    <xf numFmtId="164" fontId="0" fillId="0" borderId="0" xfId="0" applyNumberFormat="1" applyFill="1"/>
    <xf numFmtId="0" fontId="21" fillId="0" borderId="0" xfId="0" applyFont="1" applyFill="1"/>
    <xf numFmtId="164" fontId="21" fillId="0" borderId="0" xfId="0" applyNumberFormat="1" applyFont="1"/>
    <xf numFmtId="0" fontId="0" fillId="0" borderId="0" xfId="0" applyFont="1"/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left" vertical="top" wrapText="1"/>
    </xf>
    <xf numFmtId="0" fontId="36" fillId="0" borderId="0" xfId="0" applyFont="1"/>
    <xf numFmtId="0" fontId="37" fillId="0" borderId="0" xfId="0" applyFont="1" applyAlignment="1">
      <alignment wrapText="1"/>
    </xf>
    <xf numFmtId="0" fontId="37" fillId="0" borderId="0" xfId="0" applyFont="1"/>
    <xf numFmtId="0" fontId="32" fillId="0" borderId="0" xfId="42" applyNumberFormat="1" applyFont="1" applyFill="1" applyAlignment="1" applyProtection="1"/>
    <xf numFmtId="164" fontId="33" fillId="0" borderId="0" xfId="42" applyNumberFormat="1" applyFont="1" applyFill="1" applyAlignment="1" applyProtection="1"/>
    <xf numFmtId="164" fontId="32" fillId="0" borderId="0" xfId="42" applyNumberFormat="1" applyFont="1" applyFill="1" applyAlignment="1" applyProtection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11" fontId="0" fillId="0" borderId="0" xfId="0" applyNumberFormat="1"/>
    <xf numFmtId="165" fontId="0" fillId="0" borderId="0" xfId="45" applyNumberFormat="1" applyFont="1"/>
    <xf numFmtId="1" fontId="0" fillId="0" borderId="0" xfId="45" applyNumberFormat="1" applyFont="1"/>
    <xf numFmtId="1" fontId="0" fillId="0" borderId="0" xfId="0" applyNumberFormat="1"/>
    <xf numFmtId="0" fontId="14" fillId="0" borderId="0" xfId="0" applyFont="1"/>
    <xf numFmtId="9" fontId="1" fillId="0" borderId="0" xfId="45" applyFont="1" applyFill="1"/>
    <xf numFmtId="1" fontId="1" fillId="0" borderId="0" xfId="45" applyNumberFormat="1" applyFont="1" applyFill="1"/>
    <xf numFmtId="1" fontId="1" fillId="0" borderId="0" xfId="45" applyNumberFormat="1" applyFont="1"/>
    <xf numFmtId="9" fontId="0" fillId="0" borderId="0" xfId="45" applyFont="1"/>
    <xf numFmtId="9" fontId="0" fillId="0" borderId="0" xfId="0" applyNumberFormat="1"/>
    <xf numFmtId="165" fontId="0" fillId="0" borderId="0" xfId="0" applyNumberFormat="1"/>
    <xf numFmtId="166" fontId="0" fillId="0" borderId="0" xfId="0" applyNumberFormat="1"/>
    <xf numFmtId="165" fontId="0" fillId="0" borderId="0" xfId="45" applyNumberFormat="1" applyFont="1" applyFill="1"/>
    <xf numFmtId="166" fontId="0" fillId="0" borderId="0" xfId="46" applyNumberFormat="1" applyFont="1" applyFill="1"/>
    <xf numFmtId="0" fontId="33" fillId="0" borderId="0" xfId="0" applyFont="1"/>
    <xf numFmtId="43" fontId="24" fillId="0" borderId="0" xfId="46" applyFont="1" applyFill="1" applyProtection="1"/>
    <xf numFmtId="0" fontId="24" fillId="0" borderId="0" xfId="47"/>
    <xf numFmtId="0" fontId="24" fillId="0" borderId="0" xfId="47" applyAlignment="1">
      <alignment wrapText="1"/>
    </xf>
    <xf numFmtId="49" fontId="32" fillId="0" borderId="0" xfId="0" applyNumberFormat="1" applyFont="1" applyAlignment="1">
      <alignment vertical="center"/>
    </xf>
    <xf numFmtId="165" fontId="1" fillId="0" borderId="0" xfId="45" applyNumberFormat="1" applyFont="1"/>
    <xf numFmtId="166" fontId="0" fillId="0" borderId="0" xfId="46" applyNumberFormat="1" applyFont="1"/>
    <xf numFmtId="0" fontId="38" fillId="0" borderId="0" xfId="0" applyFont="1"/>
    <xf numFmtId="1" fontId="21" fillId="0" borderId="0" xfId="0" applyNumberFormat="1" applyFont="1" applyAlignment="1" applyProtection="1">
      <alignment horizontal="right" vertical="center" wrapText="1"/>
      <protection locked="0"/>
    </xf>
    <xf numFmtId="1" fontId="21" fillId="0" borderId="0" xfId="48" applyNumberFormat="1" applyFont="1" applyAlignment="1">
      <alignment horizontal="right"/>
    </xf>
    <xf numFmtId="165" fontId="21" fillId="0" borderId="0" xfId="0" applyNumberFormat="1" applyFont="1"/>
    <xf numFmtId="0" fontId="21" fillId="0" borderId="0" xfId="0" applyFont="1" applyAlignment="1">
      <alignment wrapText="1"/>
    </xf>
    <xf numFmtId="9" fontId="0" fillId="0" borderId="0" xfId="45" applyFont="1" applyFill="1"/>
    <xf numFmtId="9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0" fontId="0" fillId="0" borderId="0" xfId="0" applyNumberFormat="1"/>
    <xf numFmtId="0" fontId="40" fillId="0" borderId="0" xfId="49"/>
    <xf numFmtId="9" fontId="40" fillId="0" borderId="0" xfId="45" applyFont="1"/>
    <xf numFmtId="9" fontId="0" fillId="0" borderId="0" xfId="45" applyFont="1" applyBorder="1"/>
    <xf numFmtId="1" fontId="40" fillId="0" borderId="0" xfId="49" applyNumberFormat="1"/>
    <xf numFmtId="1" fontId="0" fillId="0" borderId="0" xfId="46" applyNumberFormat="1" applyFont="1" applyBorder="1"/>
    <xf numFmtId="9" fontId="40" fillId="0" borderId="0" xfId="49" applyNumberFormat="1"/>
    <xf numFmtId="165" fontId="40" fillId="0" borderId="0" xfId="45" applyNumberFormat="1" applyFont="1"/>
    <xf numFmtId="1" fontId="0" fillId="0" borderId="0" xfId="46" applyNumberFormat="1" applyFont="1"/>
    <xf numFmtId="1" fontId="40" fillId="0" borderId="0" xfId="46" applyNumberFormat="1" applyFont="1"/>
    <xf numFmtId="0" fontId="41" fillId="0" borderId="0" xfId="49" applyFont="1"/>
    <xf numFmtId="43" fontId="40" fillId="0" borderId="0" xfId="46" applyFont="1"/>
    <xf numFmtId="43" fontId="0" fillId="0" borderId="0" xfId="46" applyFont="1" applyBorder="1"/>
    <xf numFmtId="43" fontId="40" fillId="0" borderId="0" xfId="46" applyFont="1" applyFill="1"/>
    <xf numFmtId="43" fontId="0" fillId="0" borderId="0" xfId="46" applyFont="1" applyFill="1" applyBorder="1"/>
    <xf numFmtId="9" fontId="0" fillId="0" borderId="0" xfId="50" applyFont="1"/>
    <xf numFmtId="2" fontId="0" fillId="0" borderId="0" xfId="45" applyNumberFormat="1" applyFont="1" applyBorder="1"/>
    <xf numFmtId="2" fontId="0" fillId="0" borderId="0" xfId="50" applyNumberFormat="1" applyFont="1" applyBorder="1"/>
    <xf numFmtId="9" fontId="0" fillId="0" borderId="0" xfId="50" applyFont="1" applyBorder="1"/>
    <xf numFmtId="1" fontId="24" fillId="0" borderId="0" xfId="51" applyNumberFormat="1"/>
    <xf numFmtId="0" fontId="35" fillId="0" borderId="0" xfId="0" applyFont="1"/>
    <xf numFmtId="2" fontId="0" fillId="0" borderId="0" xfId="0" applyNumberFormat="1"/>
    <xf numFmtId="0" fontId="0" fillId="0" borderId="0" xfId="0" applyNumberFormat="1"/>
    <xf numFmtId="17" fontId="16" fillId="0" borderId="0" xfId="0" applyNumberFormat="1" applyFont="1"/>
    <xf numFmtId="0" fontId="43" fillId="0" borderId="0" xfId="52" applyFont="1" applyAlignment="1">
      <alignment horizontal="left" vertical="center"/>
    </xf>
    <xf numFmtId="1" fontId="43" fillId="0" borderId="0" xfId="0" applyNumberFormat="1" applyFont="1" applyAlignment="1">
      <alignment horizontal="right" vertical="center"/>
    </xf>
    <xf numFmtId="0" fontId="43" fillId="0" borderId="0" xfId="52" applyFont="1" applyAlignment="1">
      <alignment horizontal="centerContinuous" vertical="center" wrapText="1"/>
    </xf>
    <xf numFmtId="167" fontId="0" fillId="0" borderId="0" xfId="53" applyNumberFormat="1" applyFont="1"/>
    <xf numFmtId="0" fontId="44" fillId="0" borderId="0" xfId="54"/>
    <xf numFmtId="2" fontId="21" fillId="0" borderId="0" xfId="0" applyNumberFormat="1" applyFont="1"/>
    <xf numFmtId="0" fontId="16" fillId="0" borderId="0" xfId="0" applyFont="1" applyAlignment="1">
      <alignment vertical="center"/>
    </xf>
    <xf numFmtId="0" fontId="0" fillId="0" borderId="0" xfId="0" quotePrefix="1"/>
    <xf numFmtId="0" fontId="0" fillId="0" borderId="0" xfId="0" applyAlignment="1">
      <alignment vertical="center"/>
    </xf>
    <xf numFmtId="0" fontId="45" fillId="0" borderId="0" xfId="55"/>
    <xf numFmtId="2" fontId="45" fillId="0" borderId="0" xfId="55" applyNumberFormat="1"/>
    <xf numFmtId="2" fontId="45" fillId="0" borderId="0" xfId="55" applyNumberFormat="1" applyAlignment="1">
      <alignment horizontal="center"/>
    </xf>
    <xf numFmtId="0" fontId="46" fillId="0" borderId="0" xfId="55" applyFont="1" applyAlignment="1">
      <alignment horizontal="left"/>
    </xf>
    <xf numFmtId="0" fontId="45" fillId="0" borderId="0" xfId="56" applyFont="1"/>
    <xf numFmtId="0" fontId="42" fillId="0" borderId="0" xfId="56"/>
    <xf numFmtId="0" fontId="48" fillId="0" borderId="0" xfId="57" applyFont="1" applyFill="1" applyAlignment="1"/>
    <xf numFmtId="164" fontId="45" fillId="0" borderId="0" xfId="56" applyNumberFormat="1" applyFont="1" applyAlignment="1">
      <alignment horizontal="center"/>
    </xf>
    <xf numFmtId="0" fontId="49" fillId="0" borderId="0" xfId="56" applyFont="1"/>
    <xf numFmtId="0" fontId="50" fillId="0" borderId="0" xfId="56" applyFont="1" applyAlignment="1">
      <alignment horizontal="justify" vertical="top" wrapText="1"/>
    </xf>
    <xf numFmtId="0" fontId="51" fillId="0" borderId="0" xfId="56" applyFont="1" applyAlignment="1">
      <alignment horizontal="justify" vertical="top" wrapText="1"/>
    </xf>
    <xf numFmtId="0" fontId="50" fillId="0" borderId="0" xfId="55" applyFont="1" applyAlignment="1">
      <alignment horizontal="justify" vertical="top" wrapText="1"/>
    </xf>
    <xf numFmtId="0" fontId="1" fillId="0" borderId="0" xfId="55" applyFont="1"/>
    <xf numFmtId="2" fontId="1" fillId="0" borderId="0" xfId="55" applyNumberFormat="1" applyFont="1" applyAlignment="1">
      <alignment horizontal="center"/>
    </xf>
    <xf numFmtId="0" fontId="21" fillId="0" borderId="0" xfId="55" applyFont="1" applyAlignment="1">
      <alignment horizontal="left"/>
    </xf>
    <xf numFmtId="1" fontId="21" fillId="0" borderId="0" xfId="55" applyNumberFormat="1" applyFont="1" applyAlignment="1">
      <alignment horizontal="centerContinuous"/>
    </xf>
    <xf numFmtId="0" fontId="50" fillId="0" borderId="0" xfId="55" applyFont="1"/>
    <xf numFmtId="1" fontId="30" fillId="0" borderId="0" xfId="55" applyNumberFormat="1" applyFont="1" applyAlignment="1">
      <alignment horizontal="centerContinuous"/>
    </xf>
    <xf numFmtId="0" fontId="45" fillId="0" borderId="0" xfId="55" applyAlignment="1">
      <alignment vertical="center"/>
    </xf>
    <xf numFmtId="0" fontId="52" fillId="0" borderId="0" xfId="55" applyFont="1" applyAlignment="1">
      <alignment horizontal="left" vertical="center" wrapText="1"/>
    </xf>
    <xf numFmtId="0" fontId="53" fillId="33" borderId="0" xfId="55" applyFont="1" applyFill="1"/>
    <xf numFmtId="0" fontId="21" fillId="0" borderId="0" xfId="55" applyFont="1" applyAlignment="1">
      <alignment horizontal="centerContinuous" vertical="center" wrapText="1"/>
    </xf>
    <xf numFmtId="0" fontId="21" fillId="0" borderId="0" xfId="55" applyFont="1" applyAlignment="1">
      <alignment horizontal="center" vertical="center" wrapText="1"/>
    </xf>
    <xf numFmtId="0" fontId="54" fillId="0" borderId="0" xfId="55" applyFont="1"/>
    <xf numFmtId="0" fontId="55" fillId="33" borderId="0" xfId="55" applyFont="1" applyFill="1"/>
    <xf numFmtId="0" fontId="56" fillId="33" borderId="0" xfId="55" applyFont="1" applyFill="1"/>
    <xf numFmtId="0" fontId="16" fillId="0" borderId="0" xfId="56" applyFont="1"/>
    <xf numFmtId="0" fontId="21" fillId="0" borderId="0" xfId="56" applyFont="1"/>
    <xf numFmtId="164" fontId="21" fillId="0" borderId="0" xfId="56" applyNumberFormat="1" applyFont="1"/>
    <xf numFmtId="0" fontId="1" fillId="0" borderId="0" xfId="0" applyFont="1"/>
    <xf numFmtId="164" fontId="1" fillId="0" borderId="0" xfId="56" applyNumberFormat="1" applyFont="1" applyAlignment="1">
      <alignment horizontal="centerContinuous" vertical="center" wrapText="1"/>
    </xf>
    <xf numFmtId="0" fontId="1" fillId="0" borderId="0" xfId="56" applyFont="1"/>
    <xf numFmtId="164" fontId="1" fillId="0" borderId="0" xfId="56" applyNumberFormat="1" applyFont="1"/>
    <xf numFmtId="164" fontId="1" fillId="0" borderId="0" xfId="56" applyNumberFormat="1" applyFont="1" applyAlignment="1">
      <alignment horizontal="center" vertical="center" wrapText="1"/>
    </xf>
    <xf numFmtId="0" fontId="1" fillId="0" borderId="0" xfId="56" applyFont="1" applyAlignment="1">
      <alignment horizontal="centerContinuous" vertical="center" wrapText="1"/>
    </xf>
    <xf numFmtId="0" fontId="1" fillId="0" borderId="0" xfId="56" applyFont="1" applyAlignment="1">
      <alignment vertical="center" wrapText="1"/>
    </xf>
    <xf numFmtId="0" fontId="1" fillId="0" borderId="0" xfId="56" applyFont="1" applyAlignment="1">
      <alignment vertical="center"/>
    </xf>
    <xf numFmtId="0" fontId="1" fillId="0" borderId="0" xfId="56" applyFont="1" applyAlignment="1">
      <alignment horizontal="center" vertical="center" wrapText="1"/>
    </xf>
    <xf numFmtId="0" fontId="44" fillId="0" borderId="0" xfId="58" applyFill="1"/>
    <xf numFmtId="0" fontId="39" fillId="0" borderId="0" xfId="0" applyFont="1"/>
    <xf numFmtId="167" fontId="20" fillId="0" borderId="0" xfId="46" applyNumberFormat="1" applyFont="1"/>
    <xf numFmtId="0" fontId="21" fillId="0" borderId="0" xfId="0" applyFont="1" applyAlignment="1">
      <alignment vertical="center"/>
    </xf>
    <xf numFmtId="1" fontId="0" fillId="0" borderId="0" xfId="0" applyNumberFormat="1" applyAlignment="1">
      <alignment horizontal="right"/>
    </xf>
    <xf numFmtId="3" fontId="0" fillId="0" borderId="0" xfId="0" applyNumberFormat="1"/>
    <xf numFmtId="167" fontId="0" fillId="0" borderId="0" xfId="46" applyNumberFormat="1" applyFont="1" applyFill="1" applyAlignment="1"/>
    <xf numFmtId="167" fontId="0" fillId="0" borderId="0" xfId="46" applyNumberFormat="1" applyFont="1" applyFill="1"/>
    <xf numFmtId="0" fontId="44" fillId="0" borderId="0" xfId="54" applyFill="1"/>
    <xf numFmtId="167" fontId="0" fillId="0" borderId="0" xfId="46" applyNumberFormat="1" applyFont="1" applyFill="1" applyAlignment="1">
      <alignment horizontal="right"/>
    </xf>
    <xf numFmtId="3" fontId="16" fillId="0" borderId="0" xfId="0" applyNumberFormat="1" applyFont="1"/>
    <xf numFmtId="15" fontId="21" fillId="0" borderId="0" xfId="0" applyNumberFormat="1" applyFont="1"/>
    <xf numFmtId="167" fontId="58" fillId="0" borderId="10" xfId="46" applyNumberFormat="1" applyFont="1" applyFill="1" applyBorder="1" applyAlignment="1">
      <alignment horizontal="right" vertical="top"/>
    </xf>
    <xf numFmtId="167" fontId="58" fillId="0" borderId="10" xfId="46" applyNumberFormat="1" applyFont="1" applyFill="1" applyBorder="1" applyAlignment="1">
      <alignment horizontal="right" vertical="top" wrapText="1"/>
    </xf>
    <xf numFmtId="167" fontId="16" fillId="0" borderId="0" xfId="46" applyNumberFormat="1" applyFont="1" applyFill="1"/>
    <xf numFmtId="49" fontId="0" fillId="0" borderId="0" xfId="0" applyNumberFormat="1"/>
    <xf numFmtId="0" fontId="60" fillId="0" borderId="0" xfId="0" applyFont="1"/>
    <xf numFmtId="167" fontId="0" fillId="0" borderId="0" xfId="46" applyNumberFormat="1" applyFont="1" applyFill="1" applyAlignment="1">
      <alignment vertical="center"/>
    </xf>
    <xf numFmtId="167" fontId="0" fillId="0" borderId="0" xfId="46" applyNumberFormat="1" applyFont="1" applyFill="1" applyAlignment="1">
      <alignment vertical="center" wrapText="1"/>
    </xf>
    <xf numFmtId="14" fontId="0" fillId="0" borderId="0" xfId="0" applyNumberFormat="1"/>
    <xf numFmtId="14" fontId="60" fillId="0" borderId="0" xfId="0" applyNumberFormat="1" applyFont="1"/>
    <xf numFmtId="3" fontId="61" fillId="0" borderId="0" xfId="0" applyNumberFormat="1" applyFont="1" applyAlignment="1">
      <alignment horizontal="left" vertical="center" wrapText="1" indent="3"/>
    </xf>
    <xf numFmtId="0" fontId="62" fillId="0" borderId="0" xfId="54" applyFont="1" applyFill="1"/>
    <xf numFmtId="0" fontId="63" fillId="0" borderId="0" xfId="0" applyFont="1"/>
    <xf numFmtId="167" fontId="0" fillId="0" borderId="0" xfId="46" applyNumberFormat="1" applyFont="1"/>
    <xf numFmtId="167" fontId="16" fillId="0" borderId="0" xfId="46" applyNumberFormat="1" applyFont="1"/>
    <xf numFmtId="167" fontId="1" fillId="0" borderId="0" xfId="59" applyNumberFormat="1" applyFont="1" applyFill="1"/>
    <xf numFmtId="167" fontId="0" fillId="0" borderId="0" xfId="59" applyNumberFormat="1" applyFont="1"/>
    <xf numFmtId="167" fontId="0" fillId="0" borderId="0" xfId="0" applyNumberFormat="1"/>
    <xf numFmtId="43" fontId="0" fillId="0" borderId="0" xfId="0" applyNumberFormat="1"/>
    <xf numFmtId="43" fontId="0" fillId="0" borderId="0" xfId="59" applyFont="1"/>
    <xf numFmtId="0" fontId="0" fillId="0" borderId="0" xfId="0" applyBorder="1"/>
    <xf numFmtId="169" fontId="0" fillId="0" borderId="0" xfId="46" applyNumberFormat="1" applyFont="1"/>
    <xf numFmtId="169" fontId="0" fillId="0" borderId="0" xfId="0" applyNumberFormat="1"/>
    <xf numFmtId="0" fontId="64" fillId="0" borderId="11" xfId="0" applyFont="1" applyBorder="1" applyAlignment="1">
      <alignment vertical="top" wrapText="1"/>
    </xf>
    <xf numFmtId="170" fontId="38" fillId="0" borderId="12" xfId="0" applyNumberFormat="1" applyFont="1" applyBorder="1" applyAlignment="1">
      <alignment horizontal="right"/>
    </xf>
    <xf numFmtId="16" fontId="16" fillId="0" borderId="0" xfId="0" applyNumberFormat="1" applyFont="1"/>
    <xf numFmtId="1" fontId="21" fillId="0" borderId="0" xfId="55" applyNumberFormat="1" applyFont="1" applyAlignment="1">
      <alignment horizontal="center"/>
    </xf>
    <xf numFmtId="1" fontId="30" fillId="0" borderId="0" xfId="55" applyNumberFormat="1" applyFont="1" applyAlignment="1">
      <alignment horizontal="center"/>
    </xf>
    <xf numFmtId="0" fontId="14" fillId="0" borderId="0" xfId="0" applyFont="1" applyBorder="1"/>
    <xf numFmtId="0" fontId="21" fillId="0" borderId="0" xfId="0" applyFont="1" applyBorder="1" applyAlignment="1">
      <alignment wrapText="1"/>
    </xf>
    <xf numFmtId="0" fontId="21" fillId="0" borderId="0" xfId="0" applyFont="1" applyBorder="1"/>
    <xf numFmtId="0" fontId="32" fillId="0" borderId="0" xfId="0" applyFont="1" applyBorder="1"/>
    <xf numFmtId="0" fontId="32" fillId="0" borderId="0" xfId="0" applyFont="1" applyBorder="1" applyAlignment="1">
      <alignment horizontal="right"/>
    </xf>
    <xf numFmtId="165" fontId="0" fillId="0" borderId="0" xfId="44" applyNumberFormat="1" applyFont="1"/>
    <xf numFmtId="0" fontId="65" fillId="0" borderId="0" xfId="0" applyFont="1"/>
    <xf numFmtId="0" fontId="30" fillId="0" borderId="0" xfId="56" applyFont="1" applyAlignment="1">
      <alignment horizontal="left"/>
    </xf>
    <xf numFmtId="0" fontId="16" fillId="0" borderId="0" xfId="56" applyFont="1" applyBorder="1"/>
    <xf numFmtId="0" fontId="57" fillId="33" borderId="0" xfId="56" applyFont="1" applyFill="1" applyBorder="1"/>
    <xf numFmtId="0" fontId="24" fillId="0" borderId="0" xfId="51" applyFont="1"/>
    <xf numFmtId="169" fontId="0" fillId="0" borderId="0" xfId="46" applyNumberFormat="1" applyFont="1" applyFill="1" applyAlignment="1" applyProtection="1"/>
    <xf numFmtId="169" fontId="0" fillId="0" borderId="0" xfId="45" applyNumberFormat="1" applyFont="1"/>
    <xf numFmtId="2" fontId="0" fillId="0" borderId="0" xfId="45" applyNumberFormat="1" applyFont="1"/>
    <xf numFmtId="0" fontId="0" fillId="0" borderId="0" xfId="0" applyFont="1" applyAlignment="1">
      <alignment wrapText="1"/>
    </xf>
    <xf numFmtId="171" fontId="40" fillId="0" borderId="0" xfId="45" applyNumberFormat="1" applyFont="1"/>
    <xf numFmtId="171" fontId="0" fillId="0" borderId="0" xfId="45" applyNumberFormat="1" applyFont="1" applyBorder="1"/>
    <xf numFmtId="171" fontId="0" fillId="0" borderId="0" xfId="45" applyNumberFormat="1" applyFont="1"/>
    <xf numFmtId="0" fontId="30" fillId="0" borderId="0" xfId="0" applyFont="1" applyAlignment="1">
      <alignment vertical="center"/>
    </xf>
    <xf numFmtId="0" fontId="58" fillId="0" borderId="0" xfId="0" applyFont="1" applyAlignment="1">
      <alignment vertical="top"/>
    </xf>
    <xf numFmtId="167" fontId="58" fillId="0" borderId="0" xfId="46" applyNumberFormat="1" applyFont="1" applyFill="1" applyBorder="1" applyAlignment="1">
      <alignment horizontal="right" vertical="top"/>
    </xf>
    <xf numFmtId="167" fontId="0" fillId="0" borderId="10" xfId="46" applyNumberFormat="1" applyFont="1" applyFill="1" applyBorder="1" applyAlignment="1">
      <alignment horizontal="right"/>
    </xf>
    <xf numFmtId="0" fontId="0" fillId="0" borderId="10" xfId="0" applyBorder="1"/>
    <xf numFmtId="0" fontId="0" fillId="0" borderId="0" xfId="0"/>
    <xf numFmtId="0" fontId="0" fillId="0" borderId="0" xfId="0" applyAlignment="1">
      <alignment wrapText="1"/>
    </xf>
    <xf numFmtId="1" fontId="0" fillId="0" borderId="0" xfId="60" applyNumberFormat="1" applyFont="1"/>
    <xf numFmtId="172" fontId="0" fillId="0" borderId="0" xfId="0" applyNumberFormat="1"/>
    <xf numFmtId="0" fontId="66" fillId="0" borderId="0" xfId="0" applyFont="1" applyAlignment="1">
      <alignment vertical="center"/>
    </xf>
    <xf numFmtId="0" fontId="24" fillId="0" borderId="0" xfId="42"/>
    <xf numFmtId="174" fontId="0" fillId="0" borderId="0" xfId="61" applyNumberFormat="1" applyFont="1"/>
    <xf numFmtId="1" fontId="24" fillId="0" borderId="0" xfId="42" applyNumberFormat="1"/>
    <xf numFmtId="164" fontId="0" fillId="0" borderId="0" xfId="46" applyNumberFormat="1" applyFont="1"/>
    <xf numFmtId="0" fontId="26" fillId="0" borderId="0" xfId="62"/>
    <xf numFmtId="0" fontId="16" fillId="0" borderId="13" xfId="62" applyFont="1" applyBorder="1"/>
    <xf numFmtId="0" fontId="16" fillId="0" borderId="0" xfId="62" applyFont="1"/>
    <xf numFmtId="0" fontId="16" fillId="0" borderId="0" xfId="62" applyFont="1" applyAlignment="1">
      <alignment horizontal="left"/>
    </xf>
    <xf numFmtId="0" fontId="67" fillId="0" borderId="0" xfId="62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44" applyFont="1"/>
    <xf numFmtId="0" fontId="1" fillId="0" borderId="0" xfId="63" applyFont="1"/>
    <xf numFmtId="167" fontId="21" fillId="0" borderId="0" xfId="64" applyNumberFormat="1" applyFont="1" applyFill="1"/>
    <xf numFmtId="0" fontId="68" fillId="0" borderId="0" xfId="0" applyFont="1"/>
    <xf numFmtId="0" fontId="69" fillId="0" borderId="0" xfId="0" applyFont="1"/>
    <xf numFmtId="165" fontId="69" fillId="0" borderId="0" xfId="45" applyNumberFormat="1" applyFont="1"/>
    <xf numFmtId="9" fontId="1" fillId="0" borderId="0" xfId="44" applyFont="1"/>
    <xf numFmtId="166" fontId="0" fillId="0" borderId="0" xfId="61" applyNumberFormat="1" applyFont="1"/>
    <xf numFmtId="0" fontId="66" fillId="0" borderId="0" xfId="0" applyFont="1"/>
    <xf numFmtId="0" fontId="32" fillId="0" borderId="0" xfId="0" applyFont="1" applyAlignment="1">
      <alignment horizontal="right" vertical="center"/>
    </xf>
    <xf numFmtId="172" fontId="32" fillId="0" borderId="0" xfId="0" applyNumberFormat="1" applyFont="1" applyAlignment="1">
      <alignment horizontal="right" vertical="center"/>
    </xf>
    <xf numFmtId="2" fontId="32" fillId="0" borderId="0" xfId="0" applyNumberFormat="1" applyFont="1"/>
    <xf numFmtId="0" fontId="16" fillId="35" borderId="0" xfId="0" applyFont="1" applyFill="1" applyAlignment="1">
      <alignment horizontal="center"/>
    </xf>
    <xf numFmtId="0" fontId="16" fillId="34" borderId="0" xfId="0" applyFont="1" applyFill="1" applyAlignment="1">
      <alignment horizontal="center"/>
    </xf>
    <xf numFmtId="0" fontId="30" fillId="3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55" applyFont="1" applyAlignment="1">
      <alignment horizontal="left"/>
    </xf>
    <xf numFmtId="164" fontId="30" fillId="0" borderId="0" xfId="56" applyNumberFormat="1" applyFont="1" applyAlignment="1">
      <alignment horizontal="left"/>
    </xf>
  </cellXfs>
  <cellStyles count="65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54" builtinId="8"/>
    <cellStyle name="Hyperkobling 2" xfId="58" xr:uid="{F59135EE-9F4B-4BDB-9D16-A3F9CBDFC5FA}"/>
    <cellStyle name="Hyperlink 2 3" xfId="57" xr:uid="{AE6927FF-DBD1-47A4-ACAD-AF54812F8A43}"/>
    <cellStyle name="Inndata" xfId="9" builtinId="20" customBuiltin="1"/>
    <cellStyle name="Koblet celle" xfId="12" builtinId="24" customBuiltin="1"/>
    <cellStyle name="Komma 2" xfId="46" xr:uid="{26E78288-B344-4F9A-8B00-DBFAC0BA4F91}"/>
    <cellStyle name="Komma 2 2" xfId="53" xr:uid="{C93A28E2-9269-4405-B5CF-2F6AE92559AE}"/>
    <cellStyle name="Komma 2 2 2" xfId="64" xr:uid="{B4D17EB5-FED9-4A9C-A744-2DF3984CA37A}"/>
    <cellStyle name="Komma 2 3" xfId="61" xr:uid="{04960595-27C3-4C88-BDA1-CC55A75409D6}"/>
    <cellStyle name="Komma 3" xfId="59" xr:uid="{647A7F2B-89A3-4F97-8B00-91F7FE591876}"/>
    <cellStyle name="Komma 4" xfId="60" xr:uid="{04DA8675-32DA-4904-A1DE-44A8C49BD226}"/>
    <cellStyle name="Kontrollcelle" xfId="13" builtinId="23" customBuiltin="1"/>
    <cellStyle name="Merknad" xfId="15" builtinId="10" customBuiltin="1"/>
    <cellStyle name="Normal" xfId="0" builtinId="0"/>
    <cellStyle name="Normal 2" xfId="42" xr:uid="{537DD0DD-BF13-4893-9F00-F283FFA75772}"/>
    <cellStyle name="Normal 2 2" xfId="49" xr:uid="{F51A46A0-31CD-49AB-B5DA-AC3045543908}"/>
    <cellStyle name="Normal 2 2 2 2 3 2" xfId="56" xr:uid="{1CC255EF-949C-4AD2-A9C4-2C60857B1050}"/>
    <cellStyle name="Normal 20 5 3" xfId="55" xr:uid="{0878CDC3-87FE-47C4-8D62-ED440626F524}"/>
    <cellStyle name="Normal 3" xfId="43" xr:uid="{234B6AD8-E738-4A48-BB00-35EB28853043}"/>
    <cellStyle name="Normal 3 2" xfId="47" xr:uid="{21D32C86-43AB-4B5C-B590-0F23781E7713}"/>
    <cellStyle name="Normal 3 3" xfId="51" xr:uid="{AD2723AB-89D9-4FFA-BA1E-E46BFA483C84}"/>
    <cellStyle name="Normal 4" xfId="52" xr:uid="{45B65310-8E49-44B2-9D72-71FCAB0C66E4}"/>
    <cellStyle name="Normal 4 2" xfId="62" xr:uid="{CC4EEFCE-A607-4CCE-BFE5-14701D2B812C}"/>
    <cellStyle name="Normal_Ark1 2" xfId="63" xr:uid="{5ED9BED8-D16C-4154-AAF2-3D8BE89A1422}"/>
    <cellStyle name="Normal_C1.2" xfId="48" xr:uid="{49ECF2DB-0FFC-44E5-9A91-FFAC38426D41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4" builtinId="5"/>
    <cellStyle name="Prosent 2" xfId="45" xr:uid="{BDD40541-5212-4E49-8B50-1F9D3B2A441A}"/>
    <cellStyle name="Prosent 2 2" xfId="50" xr:uid="{DCEEDA37-FE94-466E-B27E-C35826DF9697}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4">
    <dxf>
      <font>
        <color theme="0"/>
      </font>
    </dxf>
    <dxf>
      <font>
        <color theme="0" tint="-4.9989318521683403E-2"/>
      </font>
      <fill>
        <patternFill patternType="solid">
          <bgColor theme="0" tint="-4.9989318521683403E-2"/>
        </patternFill>
      </fill>
    </dxf>
    <dxf>
      <font>
        <color theme="0"/>
      </font>
    </dxf>
    <dxf>
      <font>
        <color theme="0" tint="-4.9989318521683403E-2"/>
      </font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externalLink" Target="externalLinks/externalLink1.xml"/><Relationship Id="rId11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theme" Target="theme/theme1.xml"/><Relationship Id="rId11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'Figur 6.8'!#REF!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 6.8'!#REF!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'Figur 6.8'!#REF!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179-4D2D-B21A-F0040B3D6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4337200"/>
        <c:axId val="964333960"/>
      </c:barChart>
      <c:catAx>
        <c:axId val="964337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4333960"/>
        <c:crosses val="autoZero"/>
        <c:auto val="1"/>
        <c:lblAlgn val="ctr"/>
        <c:lblOffset val="100"/>
        <c:noMultiLvlLbl val="0"/>
      </c:catAx>
      <c:valAx>
        <c:axId val="964333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433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</xdr:row>
      <xdr:rowOff>180975</xdr:rowOff>
    </xdr:from>
    <xdr:to>
      <xdr:col>8</xdr:col>
      <xdr:colOff>419100</xdr:colOff>
      <xdr:row>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3CC19BF-9E9B-497E-8201-2DCDE1995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fil-0008.tjenester.u.dep.no\0600$\Hjem\AID6610\Documents\LLU\Kap%205%20-%20Sentrale%20trekk%20ved%20det%20norske%20arbeidsmarkede\deltid.xlsx" TargetMode="External"/><Relationship Id="rId1" Type="http://schemas.openxmlformats.org/officeDocument/2006/relationships/externalLinkPath" Target="https://departementene.sharepoint.com/Hjem/AID6610/Documents/LLU/Kap%205%20-%20Sentrale%20trekk%20ved%20det%20norske%20arbeidsmarkede/delt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.8 og 5.9 Deltid"/>
    </sheetNames>
    <sheetDataSet>
      <sheetData sheetId="0">
        <row r="169">
          <cell r="U169">
            <v>2542</v>
          </cell>
          <cell r="V169">
            <v>2583</v>
          </cell>
          <cell r="W169">
            <v>2602</v>
          </cell>
          <cell r="X169">
            <v>2624</v>
          </cell>
          <cell r="Y169">
            <v>2639</v>
          </cell>
          <cell r="Z169">
            <v>2638</v>
          </cell>
          <cell r="AA169">
            <v>2647</v>
          </cell>
          <cell r="AB169">
            <v>2694</v>
          </cell>
          <cell r="AC169">
            <v>2724</v>
          </cell>
          <cell r="AD169">
            <v>2710</v>
          </cell>
          <cell r="AE169">
            <v>2774</v>
          </cell>
          <cell r="AF169">
            <v>2849</v>
          </cell>
          <cell r="AG169">
            <v>2876</v>
          </cell>
        </row>
        <row r="170">
          <cell r="U170">
            <v>316</v>
          </cell>
          <cell r="V170">
            <v>312</v>
          </cell>
          <cell r="W170">
            <v>322</v>
          </cell>
          <cell r="X170">
            <v>325</v>
          </cell>
          <cell r="Y170">
            <v>339</v>
          </cell>
          <cell r="Z170">
            <v>331</v>
          </cell>
          <cell r="AA170">
            <v>319</v>
          </cell>
          <cell r="AB170">
            <v>320</v>
          </cell>
          <cell r="AC170">
            <v>327</v>
          </cell>
          <cell r="AD170">
            <v>322</v>
          </cell>
          <cell r="AE170">
            <v>368</v>
          </cell>
          <cell r="AF170">
            <v>391</v>
          </cell>
          <cell r="AG170">
            <v>401</v>
          </cell>
        </row>
        <row r="171">
          <cell r="U171">
            <v>359</v>
          </cell>
          <cell r="V171">
            <v>370</v>
          </cell>
          <cell r="W171">
            <v>362</v>
          </cell>
          <cell r="X171">
            <v>344</v>
          </cell>
          <cell r="Y171">
            <v>345</v>
          </cell>
          <cell r="Z171">
            <v>347</v>
          </cell>
          <cell r="AA171">
            <v>346</v>
          </cell>
          <cell r="AB171">
            <v>355</v>
          </cell>
          <cell r="AC171">
            <v>354</v>
          </cell>
          <cell r="AD171">
            <v>342</v>
          </cell>
          <cell r="AE171">
            <v>339</v>
          </cell>
          <cell r="AF171">
            <v>331</v>
          </cell>
          <cell r="AG171">
            <v>324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13" Type="http://schemas.openxmlformats.org/officeDocument/2006/relationships/customProperty" Target="../customProperty12.bin"/><Relationship Id="rId18" Type="http://schemas.openxmlformats.org/officeDocument/2006/relationships/customProperty" Target="../customProperty17.bin"/><Relationship Id="rId26" Type="http://schemas.openxmlformats.org/officeDocument/2006/relationships/customProperty" Target="../customProperty25.bin"/><Relationship Id="rId3" Type="http://schemas.openxmlformats.org/officeDocument/2006/relationships/customProperty" Target="../customProperty2.bin"/><Relationship Id="rId21" Type="http://schemas.openxmlformats.org/officeDocument/2006/relationships/customProperty" Target="../customProperty20.bin"/><Relationship Id="rId34" Type="http://schemas.openxmlformats.org/officeDocument/2006/relationships/customProperty" Target="../customProperty33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17" Type="http://schemas.openxmlformats.org/officeDocument/2006/relationships/customProperty" Target="../customProperty16.bin"/><Relationship Id="rId25" Type="http://schemas.openxmlformats.org/officeDocument/2006/relationships/customProperty" Target="../customProperty24.bin"/><Relationship Id="rId33" Type="http://schemas.openxmlformats.org/officeDocument/2006/relationships/customProperty" Target="../customProperty32.bin"/><Relationship Id="rId2" Type="http://schemas.openxmlformats.org/officeDocument/2006/relationships/customProperty" Target="../customProperty1.bin"/><Relationship Id="rId16" Type="http://schemas.openxmlformats.org/officeDocument/2006/relationships/customProperty" Target="../customProperty15.bin"/><Relationship Id="rId20" Type="http://schemas.openxmlformats.org/officeDocument/2006/relationships/customProperty" Target="../customProperty19.bin"/><Relationship Id="rId29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10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24" Type="http://schemas.openxmlformats.org/officeDocument/2006/relationships/customProperty" Target="../customProperty23.bin"/><Relationship Id="rId32" Type="http://schemas.openxmlformats.org/officeDocument/2006/relationships/customProperty" Target="../customProperty31.bin"/><Relationship Id="rId5" Type="http://schemas.openxmlformats.org/officeDocument/2006/relationships/customProperty" Target="../customProperty4.bin"/><Relationship Id="rId15" Type="http://schemas.openxmlformats.org/officeDocument/2006/relationships/customProperty" Target="../customProperty14.bin"/><Relationship Id="rId23" Type="http://schemas.openxmlformats.org/officeDocument/2006/relationships/customProperty" Target="../customProperty22.bin"/><Relationship Id="rId28" Type="http://schemas.openxmlformats.org/officeDocument/2006/relationships/customProperty" Target="../customProperty27.bin"/><Relationship Id="rId10" Type="http://schemas.openxmlformats.org/officeDocument/2006/relationships/customProperty" Target="../customProperty9.bin"/><Relationship Id="rId19" Type="http://schemas.openxmlformats.org/officeDocument/2006/relationships/customProperty" Target="../customProperty18.bin"/><Relationship Id="rId31" Type="http://schemas.openxmlformats.org/officeDocument/2006/relationships/customProperty" Target="../customProperty30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Relationship Id="rId14" Type="http://schemas.openxmlformats.org/officeDocument/2006/relationships/customProperty" Target="../customProperty13.bin"/><Relationship Id="rId22" Type="http://schemas.openxmlformats.org/officeDocument/2006/relationships/customProperty" Target="../customProperty21.bin"/><Relationship Id="rId27" Type="http://schemas.openxmlformats.org/officeDocument/2006/relationships/customProperty" Target="../customProperty26.bin"/><Relationship Id="rId30" Type="http://schemas.openxmlformats.org/officeDocument/2006/relationships/customProperty" Target="../customProperty29.bin"/><Relationship Id="rId35" Type="http://schemas.openxmlformats.org/officeDocument/2006/relationships/customProperty" Target="../customProperty3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55B1-1CEF-4947-8E00-65A4F3CE57EF}">
  <dimension ref="A1:C122"/>
  <sheetViews>
    <sheetView tabSelected="1" workbookViewId="0">
      <selection sqref="A1:B1"/>
    </sheetView>
  </sheetViews>
  <sheetFormatPr baseColWidth="10" defaultRowHeight="14.4"/>
  <cols>
    <col min="2" max="2" width="255.33203125" customWidth="1"/>
  </cols>
  <sheetData>
    <row r="1" spans="1:3">
      <c r="A1" s="239" t="s">
        <v>889</v>
      </c>
      <c r="B1" s="239"/>
    </row>
    <row r="2" spans="1:3">
      <c r="A2" s="238" t="s">
        <v>515</v>
      </c>
      <c r="B2" s="238"/>
    </row>
    <row r="3" spans="1:3">
      <c r="A3" s="36" t="s">
        <v>412</v>
      </c>
      <c r="B3" s="6" t="s">
        <v>413</v>
      </c>
      <c r="C3" s="8"/>
    </row>
    <row r="4" spans="1:3">
      <c r="A4" s="36" t="s">
        <v>414</v>
      </c>
      <c r="B4" s="6" t="s">
        <v>734</v>
      </c>
    </row>
    <row r="5" spans="1:3">
      <c r="A5" s="36" t="s">
        <v>415</v>
      </c>
      <c r="B5" s="6" t="s">
        <v>416</v>
      </c>
      <c r="C5" s="8"/>
    </row>
    <row r="6" spans="1:3">
      <c r="A6" s="36" t="s">
        <v>417</v>
      </c>
      <c r="B6" s="6" t="s">
        <v>418</v>
      </c>
      <c r="C6" s="8"/>
    </row>
    <row r="7" spans="1:3">
      <c r="A7" s="36" t="s">
        <v>419</v>
      </c>
      <c r="B7" s="6" t="s">
        <v>420</v>
      </c>
    </row>
    <row r="8" spans="1:3">
      <c r="A8" s="36" t="s">
        <v>421</v>
      </c>
      <c r="B8" s="6" t="s">
        <v>422</v>
      </c>
    </row>
    <row r="9" spans="1:3">
      <c r="A9" s="238" t="s">
        <v>516</v>
      </c>
      <c r="B9" s="238"/>
      <c r="C9" s="4"/>
    </row>
    <row r="10" spans="1:3">
      <c r="A10" s="32" t="s">
        <v>2</v>
      </c>
      <c r="B10" s="8" t="s">
        <v>63</v>
      </c>
    </row>
    <row r="11" spans="1:3">
      <c r="A11" s="32" t="s">
        <v>3</v>
      </c>
      <c r="B11" s="8" t="s">
        <v>65</v>
      </c>
    </row>
    <row r="12" spans="1:3">
      <c r="A12" s="32" t="s">
        <v>25</v>
      </c>
      <c r="B12" s="8" t="s">
        <v>33</v>
      </c>
    </row>
    <row r="13" spans="1:3">
      <c r="A13" s="32" t="s">
        <v>4</v>
      </c>
      <c r="B13" s="8" t="s">
        <v>68</v>
      </c>
    </row>
    <row r="14" spans="1:3">
      <c r="A14" s="32" t="s">
        <v>34</v>
      </c>
      <c r="B14" s="6" t="s">
        <v>69</v>
      </c>
    </row>
    <row r="15" spans="1:3">
      <c r="A15" s="32" t="s">
        <v>5</v>
      </c>
      <c r="B15" t="s">
        <v>70</v>
      </c>
    </row>
    <row r="16" spans="1:3">
      <c r="A16" s="34" t="s">
        <v>6</v>
      </c>
      <c r="B16" s="34" t="s">
        <v>71</v>
      </c>
    </row>
    <row r="17" spans="1:2">
      <c r="A17" s="238" t="s">
        <v>434</v>
      </c>
      <c r="B17" s="238"/>
    </row>
    <row r="18" spans="1:2">
      <c r="A18" s="36" t="s">
        <v>435</v>
      </c>
      <c r="B18" s="6" t="s">
        <v>436</v>
      </c>
    </row>
    <row r="19" spans="1:2">
      <c r="A19" s="36" t="s">
        <v>437</v>
      </c>
      <c r="B19" s="6" t="s">
        <v>438</v>
      </c>
    </row>
    <row r="20" spans="1:2">
      <c r="A20" s="36" t="s">
        <v>439</v>
      </c>
      <c r="B20" s="6" t="s">
        <v>440</v>
      </c>
    </row>
    <row r="21" spans="1:2">
      <c r="A21" s="36" t="s">
        <v>441</v>
      </c>
      <c r="B21" s="6" t="s">
        <v>442</v>
      </c>
    </row>
    <row r="22" spans="1:2">
      <c r="A22" s="36" t="s">
        <v>443</v>
      </c>
      <c r="B22" s="6" t="s">
        <v>715</v>
      </c>
    </row>
    <row r="23" spans="1:2">
      <c r="A23" s="36" t="s">
        <v>444</v>
      </c>
      <c r="B23" s="109" t="s">
        <v>445</v>
      </c>
    </row>
    <row r="24" spans="1:2">
      <c r="A24" s="36" t="s">
        <v>446</v>
      </c>
      <c r="B24" s="6" t="s">
        <v>447</v>
      </c>
    </row>
    <row r="25" spans="1:2">
      <c r="A25" s="4" t="s">
        <v>448</v>
      </c>
      <c r="B25" s="4" t="s">
        <v>717</v>
      </c>
    </row>
    <row r="26" spans="1:2">
      <c r="A26" s="4" t="s">
        <v>450</v>
      </c>
      <c r="B26" s="4" t="s">
        <v>716</v>
      </c>
    </row>
    <row r="27" spans="1:2">
      <c r="A27" s="238" t="s">
        <v>517</v>
      </c>
      <c r="B27" s="238"/>
    </row>
    <row r="28" spans="1:2">
      <c r="A28" s="36" t="s">
        <v>296</v>
      </c>
      <c r="B28" s="6" t="s">
        <v>722</v>
      </c>
    </row>
    <row r="29" spans="1:2">
      <c r="A29" s="36" t="s">
        <v>297</v>
      </c>
      <c r="B29" s="6" t="s">
        <v>721</v>
      </c>
    </row>
    <row r="30" spans="1:2">
      <c r="A30" s="36" t="s">
        <v>298</v>
      </c>
      <c r="B30" s="6" t="s">
        <v>720</v>
      </c>
    </row>
    <row r="31" spans="1:2">
      <c r="A31" s="36" t="s">
        <v>299</v>
      </c>
      <c r="B31" s="6" t="s">
        <v>719</v>
      </c>
    </row>
    <row r="32" spans="1:2">
      <c r="A32" s="36" t="s">
        <v>300</v>
      </c>
      <c r="B32" s="6" t="s">
        <v>723</v>
      </c>
    </row>
    <row r="33" spans="1:2">
      <c r="A33" s="36" t="s">
        <v>301</v>
      </c>
      <c r="B33" s="6" t="s">
        <v>724</v>
      </c>
    </row>
    <row r="34" spans="1:2">
      <c r="A34" s="36" t="s">
        <v>303</v>
      </c>
      <c r="B34" s="6" t="s">
        <v>304</v>
      </c>
    </row>
    <row r="35" spans="1:2" ht="15.75" customHeight="1">
      <c r="A35" s="36" t="s">
        <v>305</v>
      </c>
      <c r="B35" s="6" t="s">
        <v>306</v>
      </c>
    </row>
    <row r="36" spans="1:2">
      <c r="A36" s="36" t="s">
        <v>307</v>
      </c>
      <c r="B36" s="6" t="s">
        <v>308</v>
      </c>
    </row>
    <row r="37" spans="1:2">
      <c r="A37" s="36" t="s">
        <v>309</v>
      </c>
      <c r="B37" s="6" t="s">
        <v>310</v>
      </c>
    </row>
    <row r="38" spans="1:2">
      <c r="A38" s="36" t="s">
        <v>311</v>
      </c>
      <c r="B38" s="19" t="s">
        <v>730</v>
      </c>
    </row>
    <row r="39" spans="1:2">
      <c r="A39" s="36" t="s">
        <v>312</v>
      </c>
      <c r="B39" s="6" t="s">
        <v>731</v>
      </c>
    </row>
    <row r="40" spans="1:2">
      <c r="A40" s="36" t="s">
        <v>313</v>
      </c>
      <c r="B40" s="6" t="s">
        <v>732</v>
      </c>
    </row>
    <row r="41" spans="1:2">
      <c r="A41" s="36" t="s">
        <v>314</v>
      </c>
      <c r="B41" s="6" t="s">
        <v>725</v>
      </c>
    </row>
    <row r="42" spans="1:2">
      <c r="A42" s="36" t="s">
        <v>316</v>
      </c>
      <c r="B42" s="6" t="s">
        <v>726</v>
      </c>
    </row>
    <row r="43" spans="1:2">
      <c r="A43" s="36" t="s">
        <v>317</v>
      </c>
      <c r="B43" s="6" t="s">
        <v>727</v>
      </c>
    </row>
    <row r="44" spans="1:2">
      <c r="A44" s="36" t="s">
        <v>319</v>
      </c>
      <c r="B44" s="6" t="s">
        <v>320</v>
      </c>
    </row>
    <row r="45" spans="1:2">
      <c r="A45" s="36" t="s">
        <v>321</v>
      </c>
      <c r="B45" s="6" t="s">
        <v>733</v>
      </c>
    </row>
    <row r="46" spans="1:2">
      <c r="A46" s="36" t="s">
        <v>322</v>
      </c>
      <c r="B46" s="6" t="s">
        <v>323</v>
      </c>
    </row>
    <row r="47" spans="1:2">
      <c r="A47" s="36" t="s">
        <v>324</v>
      </c>
      <c r="B47" s="6" t="s">
        <v>728</v>
      </c>
    </row>
    <row r="48" spans="1:2">
      <c r="A48" s="36" t="s">
        <v>326</v>
      </c>
      <c r="B48" s="6" t="s">
        <v>327</v>
      </c>
    </row>
    <row r="49" spans="1:3">
      <c r="A49" s="238" t="s">
        <v>739</v>
      </c>
      <c r="B49" s="238"/>
    </row>
    <row r="50" spans="1:3">
      <c r="A50" s="210" t="s">
        <v>740</v>
      </c>
      <c r="B50" s="210" t="s">
        <v>741</v>
      </c>
    </row>
    <row r="51" spans="1:3">
      <c r="A51" s="210" t="s">
        <v>742</v>
      </c>
      <c r="B51" s="210" t="s">
        <v>803</v>
      </c>
    </row>
    <row r="52" spans="1:3">
      <c r="A52" s="210" t="s">
        <v>743</v>
      </c>
      <c r="B52" s="210" t="s">
        <v>744</v>
      </c>
    </row>
    <row r="53" spans="1:3">
      <c r="A53" s="210" t="s">
        <v>745</v>
      </c>
      <c r="B53" s="210" t="s">
        <v>878</v>
      </c>
    </row>
    <row r="54" spans="1:3">
      <c r="A54" s="210" t="s">
        <v>746</v>
      </c>
      <c r="B54" s="210" t="s">
        <v>747</v>
      </c>
    </row>
    <row r="55" spans="1:3">
      <c r="A55" s="210" t="s">
        <v>748</v>
      </c>
      <c r="B55" s="210" t="s">
        <v>879</v>
      </c>
    </row>
    <row r="56" spans="1:3">
      <c r="A56" s="210" t="s">
        <v>749</v>
      </c>
      <c r="B56" s="210" t="s">
        <v>804</v>
      </c>
    </row>
    <row r="57" spans="1:3">
      <c r="A57" s="210" t="s">
        <v>750</v>
      </c>
      <c r="B57" s="210" t="s">
        <v>751</v>
      </c>
    </row>
    <row r="58" spans="1:3">
      <c r="A58" s="210" t="s">
        <v>752</v>
      </c>
      <c r="B58" s="210" t="s">
        <v>753</v>
      </c>
      <c r="C58" s="6"/>
    </row>
    <row r="59" spans="1:3">
      <c r="A59" s="210" t="s">
        <v>754</v>
      </c>
      <c r="B59" s="210" t="s">
        <v>755</v>
      </c>
      <c r="C59" s="6"/>
    </row>
    <row r="60" spans="1:3">
      <c r="A60" s="210" t="s">
        <v>756</v>
      </c>
      <c r="B60" s="210" t="s">
        <v>885</v>
      </c>
      <c r="C60" s="6"/>
    </row>
    <row r="61" spans="1:3">
      <c r="A61" s="210" t="s">
        <v>757</v>
      </c>
      <c r="B61" s="210" t="s">
        <v>758</v>
      </c>
      <c r="C61" s="6"/>
    </row>
    <row r="62" spans="1:3">
      <c r="A62" s="210" t="s">
        <v>759</v>
      </c>
      <c r="B62" s="210" t="s">
        <v>880</v>
      </c>
      <c r="C62" s="6"/>
    </row>
    <row r="63" spans="1:3">
      <c r="A63" s="210" t="s">
        <v>760</v>
      </c>
      <c r="B63" s="210" t="s">
        <v>881</v>
      </c>
      <c r="C63" s="6"/>
    </row>
    <row r="64" spans="1:3">
      <c r="A64" s="210" t="s">
        <v>761</v>
      </c>
      <c r="B64" s="210" t="s">
        <v>882</v>
      </c>
    </row>
    <row r="65" spans="1:2">
      <c r="A65" s="210" t="s">
        <v>762</v>
      </c>
      <c r="B65" s="210" t="s">
        <v>883</v>
      </c>
    </row>
    <row r="66" spans="1:2">
      <c r="A66" s="210" t="s">
        <v>763</v>
      </c>
      <c r="B66" s="210" t="s">
        <v>764</v>
      </c>
    </row>
    <row r="67" spans="1:2">
      <c r="A67" s="210" t="s">
        <v>765</v>
      </c>
      <c r="B67" s="210" t="s">
        <v>884</v>
      </c>
    </row>
    <row r="68" spans="1:2">
      <c r="A68" s="210" t="s">
        <v>766</v>
      </c>
      <c r="B68" s="210" t="s">
        <v>767</v>
      </c>
    </row>
    <row r="69" spans="1:2">
      <c r="A69" s="210" t="s">
        <v>768</v>
      </c>
      <c r="B69" s="210" t="s">
        <v>769</v>
      </c>
    </row>
    <row r="70" spans="1:2">
      <c r="A70" s="210" t="s">
        <v>770</v>
      </c>
      <c r="B70" s="210" t="s">
        <v>771</v>
      </c>
    </row>
    <row r="71" spans="1:2">
      <c r="A71" s="210" t="s">
        <v>772</v>
      </c>
      <c r="B71" s="210" t="s">
        <v>773</v>
      </c>
    </row>
    <row r="72" spans="1:2">
      <c r="A72" s="210" t="s">
        <v>774</v>
      </c>
      <c r="B72" s="210" t="s">
        <v>834</v>
      </c>
    </row>
    <row r="73" spans="1:2">
      <c r="A73" s="210" t="s">
        <v>775</v>
      </c>
      <c r="B73" s="210" t="s">
        <v>776</v>
      </c>
    </row>
    <row r="74" spans="1:2">
      <c r="A74" s="210" t="s">
        <v>777</v>
      </c>
      <c r="B74" s="210" t="s">
        <v>805</v>
      </c>
    </row>
    <row r="75" spans="1:2">
      <c r="A75" s="238" t="s">
        <v>283</v>
      </c>
      <c r="B75" s="238"/>
    </row>
    <row r="76" spans="1:2">
      <c r="A76" s="36" t="s">
        <v>109</v>
      </c>
      <c r="B76" s="210" t="s">
        <v>115</v>
      </c>
    </row>
    <row r="77" spans="1:2">
      <c r="A77" s="36" t="s">
        <v>108</v>
      </c>
      <c r="B77" s="210" t="s">
        <v>107</v>
      </c>
    </row>
    <row r="78" spans="1:2">
      <c r="A78" s="36" t="s">
        <v>106</v>
      </c>
      <c r="B78" s="210" t="s">
        <v>105</v>
      </c>
    </row>
    <row r="79" spans="1:2">
      <c r="A79" s="36" t="s">
        <v>104</v>
      </c>
      <c r="B79" s="210" t="s">
        <v>103</v>
      </c>
    </row>
    <row r="80" spans="1:2">
      <c r="A80" s="36" t="s">
        <v>102</v>
      </c>
      <c r="B80" s="210" t="s">
        <v>101</v>
      </c>
    </row>
    <row r="81" spans="1:2">
      <c r="A81" s="36" t="s">
        <v>100</v>
      </c>
      <c r="B81" s="210" t="s">
        <v>99</v>
      </c>
    </row>
    <row r="82" spans="1:2">
      <c r="A82" s="36" t="s">
        <v>98</v>
      </c>
      <c r="B82" s="210" t="s">
        <v>97</v>
      </c>
    </row>
    <row r="83" spans="1:2">
      <c r="A83" s="36" t="s">
        <v>96</v>
      </c>
      <c r="B83" s="210" t="s">
        <v>95</v>
      </c>
    </row>
    <row r="84" spans="1:2">
      <c r="A84" s="36" t="s">
        <v>94</v>
      </c>
      <c r="B84" s="210" t="s">
        <v>93</v>
      </c>
    </row>
    <row r="85" spans="1:2">
      <c r="A85" s="36" t="s">
        <v>92</v>
      </c>
      <c r="B85" s="210" t="s">
        <v>91</v>
      </c>
    </row>
    <row r="86" spans="1:2">
      <c r="A86" s="36" t="s">
        <v>90</v>
      </c>
      <c r="B86" s="210" t="s">
        <v>89</v>
      </c>
    </row>
    <row r="87" spans="1:2">
      <c r="A87" s="36" t="s">
        <v>88</v>
      </c>
      <c r="B87" s="210" t="s">
        <v>87</v>
      </c>
    </row>
    <row r="88" spans="1:2">
      <c r="A88" s="36" t="s">
        <v>86</v>
      </c>
      <c r="B88" s="210" t="s">
        <v>85</v>
      </c>
    </row>
    <row r="89" spans="1:2">
      <c r="A89" s="36" t="s">
        <v>84</v>
      </c>
      <c r="B89" s="210" t="s">
        <v>83</v>
      </c>
    </row>
    <row r="90" spans="1:2">
      <c r="A90" s="36" t="s">
        <v>82</v>
      </c>
      <c r="B90" s="210" t="s">
        <v>81</v>
      </c>
    </row>
    <row r="91" spans="1:2">
      <c r="A91" s="36" t="s">
        <v>80</v>
      </c>
      <c r="B91" s="210" t="s">
        <v>79</v>
      </c>
    </row>
    <row r="92" spans="1:2">
      <c r="A92" s="201" t="s">
        <v>78</v>
      </c>
      <c r="B92" s="19" t="s">
        <v>77</v>
      </c>
    </row>
    <row r="93" spans="1:2">
      <c r="A93" s="238" t="s">
        <v>282</v>
      </c>
      <c r="B93" s="238"/>
    </row>
    <row r="94" spans="1:2">
      <c r="A94" s="36" t="s">
        <v>274</v>
      </c>
      <c r="B94" s="210" t="s">
        <v>275</v>
      </c>
    </row>
    <row r="95" spans="1:2">
      <c r="A95" s="36" t="s">
        <v>276</v>
      </c>
      <c r="B95" s="210" t="s">
        <v>277</v>
      </c>
    </row>
    <row r="96" spans="1:2">
      <c r="A96" s="36" t="s">
        <v>278</v>
      </c>
      <c r="B96" s="210" t="s">
        <v>279</v>
      </c>
    </row>
    <row r="97" spans="1:2">
      <c r="A97" s="36" t="s">
        <v>280</v>
      </c>
      <c r="B97" s="210" t="s">
        <v>281</v>
      </c>
    </row>
    <row r="98" spans="1:2">
      <c r="A98" s="238" t="s">
        <v>518</v>
      </c>
      <c r="B98" s="238"/>
    </row>
    <row r="99" spans="1:2">
      <c r="A99" s="210" t="s">
        <v>736</v>
      </c>
      <c r="B99" s="210" t="s">
        <v>522</v>
      </c>
    </row>
    <row r="100" spans="1:2">
      <c r="A100" s="210" t="s">
        <v>737</v>
      </c>
      <c r="B100" s="210" t="s">
        <v>735</v>
      </c>
    </row>
    <row r="101" spans="1:2">
      <c r="A101" s="240" t="s">
        <v>526</v>
      </c>
      <c r="B101" s="240"/>
    </row>
    <row r="102" spans="1:2">
      <c r="A102" s="4" t="s">
        <v>527</v>
      </c>
      <c r="B102" s="151" t="s">
        <v>778</v>
      </c>
    </row>
    <row r="103" spans="1:2">
      <c r="A103" s="4" t="s">
        <v>528</v>
      </c>
      <c r="B103" s="4" t="s">
        <v>529</v>
      </c>
    </row>
    <row r="104" spans="1:2">
      <c r="A104" s="4" t="s">
        <v>530</v>
      </c>
      <c r="B104" s="4" t="s">
        <v>591</v>
      </c>
    </row>
    <row r="105" spans="1:2">
      <c r="A105" s="4" t="s">
        <v>531</v>
      </c>
      <c r="B105" s="151" t="s">
        <v>532</v>
      </c>
    </row>
    <row r="106" spans="1:2">
      <c r="A106" s="4" t="s">
        <v>533</v>
      </c>
      <c r="B106" s="4" t="s">
        <v>604</v>
      </c>
    </row>
    <row r="107" spans="1:2">
      <c r="A107" s="4" t="s">
        <v>534</v>
      </c>
      <c r="B107" s="4" t="s">
        <v>535</v>
      </c>
    </row>
    <row r="108" spans="1:2">
      <c r="A108" s="4" t="s">
        <v>536</v>
      </c>
      <c r="B108" s="151" t="s">
        <v>537</v>
      </c>
    </row>
    <row r="109" spans="1:2">
      <c r="A109" s="4" t="s">
        <v>538</v>
      </c>
      <c r="B109" s="4" t="s">
        <v>539</v>
      </c>
    </row>
    <row r="110" spans="1:2" ht="15" customHeight="1">
      <c r="A110" s="4" t="s">
        <v>540</v>
      </c>
      <c r="B110" s="4" t="s">
        <v>541</v>
      </c>
    </row>
    <row r="111" spans="1:2">
      <c r="A111" s="4" t="s">
        <v>542</v>
      </c>
      <c r="B111" s="4" t="s">
        <v>543</v>
      </c>
    </row>
    <row r="112" spans="1:2">
      <c r="A112" s="4" t="s">
        <v>544</v>
      </c>
      <c r="B112" s="4" t="s">
        <v>545</v>
      </c>
    </row>
    <row r="113" spans="1:2">
      <c r="A113" s="4" t="s">
        <v>546</v>
      </c>
      <c r="B113" s="4" t="s">
        <v>779</v>
      </c>
    </row>
    <row r="114" spans="1:2">
      <c r="A114" s="4" t="s">
        <v>547</v>
      </c>
      <c r="B114" s="4" t="s">
        <v>780</v>
      </c>
    </row>
    <row r="115" spans="1:2">
      <c r="A115" s="4" t="s">
        <v>548</v>
      </c>
      <c r="B115" s="210" t="s">
        <v>549</v>
      </c>
    </row>
    <row r="116" spans="1:2">
      <c r="A116" s="4" t="s">
        <v>550</v>
      </c>
      <c r="B116" s="4" t="s">
        <v>551</v>
      </c>
    </row>
    <row r="117" spans="1:2">
      <c r="A117" s="4" t="s">
        <v>552</v>
      </c>
      <c r="B117" s="4" t="s">
        <v>553</v>
      </c>
    </row>
    <row r="118" spans="1:2">
      <c r="A118" s="238" t="s">
        <v>692</v>
      </c>
      <c r="B118" s="238"/>
    </row>
    <row r="119" spans="1:2">
      <c r="A119" s="36" t="s">
        <v>693</v>
      </c>
      <c r="B119" s="210" t="s">
        <v>738</v>
      </c>
    </row>
    <row r="120" spans="1:2" ht="15.75" customHeight="1">
      <c r="A120" s="36" t="s">
        <v>694</v>
      </c>
      <c r="B120" s="210" t="s">
        <v>695</v>
      </c>
    </row>
    <row r="121" spans="1:2">
      <c r="A121" s="36" t="s">
        <v>696</v>
      </c>
      <c r="B121" s="6" t="s">
        <v>697</v>
      </c>
    </row>
    <row r="122" spans="1:2">
      <c r="A122" s="36" t="s">
        <v>698</v>
      </c>
      <c r="B122" s="19" t="s">
        <v>787</v>
      </c>
    </row>
  </sheetData>
  <mergeCells count="11">
    <mergeCell ref="A118:B118"/>
    <mergeCell ref="A1:B1"/>
    <mergeCell ref="A27:B27"/>
    <mergeCell ref="A2:B2"/>
    <mergeCell ref="A9:B9"/>
    <mergeCell ref="A17:B17"/>
    <mergeCell ref="A49:B49"/>
    <mergeCell ref="A75:B75"/>
    <mergeCell ref="A93:B93"/>
    <mergeCell ref="A98:B98"/>
    <mergeCell ref="A101:B101"/>
  </mergeCells>
  <phoneticPr fontId="2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7789-A969-4054-82C9-CD365C53A013}">
  <dimension ref="A1:I29"/>
  <sheetViews>
    <sheetView zoomScale="110" zoomScaleNormal="110" workbookViewId="0">
      <selection activeCell="B1" sqref="B1"/>
    </sheetView>
  </sheetViews>
  <sheetFormatPr baseColWidth="10" defaultRowHeight="14.4"/>
  <cols>
    <col min="1" max="1" width="31.109375" customWidth="1"/>
  </cols>
  <sheetData>
    <row r="1" spans="1:5">
      <c r="A1" s="7" t="s">
        <v>67</v>
      </c>
      <c r="B1" s="7" t="s">
        <v>76</v>
      </c>
    </row>
    <row r="3" spans="1:5">
      <c r="B3" t="s">
        <v>12</v>
      </c>
      <c r="C3" t="s">
        <v>13</v>
      </c>
      <c r="D3" t="s">
        <v>14</v>
      </c>
      <c r="E3" t="s">
        <v>15</v>
      </c>
    </row>
    <row r="4" spans="1:5">
      <c r="A4" t="s">
        <v>11</v>
      </c>
      <c r="B4">
        <v>77.7</v>
      </c>
      <c r="C4">
        <v>9.1</v>
      </c>
      <c r="D4">
        <v>7.4</v>
      </c>
      <c r="E4">
        <v>5.8</v>
      </c>
    </row>
    <row r="5" spans="1:5">
      <c r="A5" s="10" t="s">
        <v>18</v>
      </c>
      <c r="B5">
        <v>73.5</v>
      </c>
      <c r="C5">
        <v>2.2999999999999998</v>
      </c>
      <c r="D5">
        <v>5.7</v>
      </c>
      <c r="E5">
        <v>18.5</v>
      </c>
    </row>
    <row r="6" spans="1:5">
      <c r="A6" t="s">
        <v>19</v>
      </c>
      <c r="B6">
        <v>82.6</v>
      </c>
      <c r="C6">
        <v>4.0999999999999996</v>
      </c>
      <c r="D6">
        <v>7.2</v>
      </c>
      <c r="E6">
        <v>6</v>
      </c>
    </row>
    <row r="7" spans="1:5">
      <c r="A7" t="s">
        <v>20</v>
      </c>
      <c r="B7">
        <v>73.599999999999994</v>
      </c>
      <c r="C7">
        <v>7.8</v>
      </c>
      <c r="D7">
        <v>10.4</v>
      </c>
      <c r="E7">
        <v>8.1999999999999993</v>
      </c>
    </row>
    <row r="8" spans="1:5">
      <c r="A8" t="s">
        <v>21</v>
      </c>
      <c r="B8">
        <v>66.3</v>
      </c>
      <c r="C8">
        <v>3.7</v>
      </c>
      <c r="D8">
        <v>14.7</v>
      </c>
      <c r="E8">
        <v>15.4</v>
      </c>
    </row>
    <row r="9" spans="1:5">
      <c r="A9" t="s">
        <v>22</v>
      </c>
      <c r="B9">
        <v>82.6</v>
      </c>
      <c r="C9">
        <v>9.5</v>
      </c>
      <c r="D9">
        <v>5.7</v>
      </c>
      <c r="E9">
        <v>2.2000000000000002</v>
      </c>
    </row>
    <row r="10" spans="1:5">
      <c r="A10" t="s">
        <v>23</v>
      </c>
      <c r="B10">
        <v>72.3</v>
      </c>
      <c r="C10">
        <v>12.7</v>
      </c>
      <c r="D10">
        <v>8.5</v>
      </c>
      <c r="E10">
        <v>6.5</v>
      </c>
    </row>
    <row r="11" spans="1:5">
      <c r="A11" t="s">
        <v>24</v>
      </c>
      <c r="B11">
        <v>45</v>
      </c>
      <c r="C11">
        <v>27.7</v>
      </c>
      <c r="D11">
        <v>16</v>
      </c>
      <c r="E11">
        <v>11.3</v>
      </c>
    </row>
    <row r="12" spans="1:5">
      <c r="A12" t="s">
        <v>16</v>
      </c>
      <c r="B12">
        <v>48.4</v>
      </c>
      <c r="C12">
        <v>16.399999999999999</v>
      </c>
      <c r="D12">
        <v>12.9</v>
      </c>
      <c r="E12">
        <v>22.3</v>
      </c>
    </row>
    <row r="13" spans="1:5">
      <c r="A13" t="s">
        <v>17</v>
      </c>
      <c r="B13">
        <v>83.4</v>
      </c>
      <c r="C13">
        <v>11.4</v>
      </c>
      <c r="D13">
        <v>4</v>
      </c>
      <c r="E13">
        <v>1.2</v>
      </c>
    </row>
    <row r="28" spans="7:9">
      <c r="G28" s="10"/>
    </row>
    <row r="29" spans="7:9" ht="15.6">
      <c r="I29" s="20"/>
    </row>
  </sheetData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F33E-76FD-436E-B989-89807783463C}">
  <dimension ref="A1:V11"/>
  <sheetViews>
    <sheetView workbookViewId="0">
      <selection activeCell="B27" sqref="B27"/>
    </sheetView>
  </sheetViews>
  <sheetFormatPr baseColWidth="10" defaultColWidth="11.44140625" defaultRowHeight="14.4"/>
  <cols>
    <col min="1" max="1" width="70.109375" style="6" bestFit="1" customWidth="1"/>
    <col min="2" max="16384" width="11.44140625" style="6"/>
  </cols>
  <sheetData>
    <row r="1" spans="1:22">
      <c r="A1" s="7" t="s">
        <v>538</v>
      </c>
      <c r="B1" s="7" t="s">
        <v>539</v>
      </c>
    </row>
    <row r="2" spans="1:22" ht="15.6">
      <c r="V2" s="171"/>
    </row>
    <row r="3" spans="1:22">
      <c r="B3" s="6" t="s">
        <v>620</v>
      </c>
      <c r="C3" s="6" t="s">
        <v>621</v>
      </c>
      <c r="D3" s="6" t="s">
        <v>612</v>
      </c>
      <c r="E3" s="6" t="s">
        <v>598</v>
      </c>
    </row>
    <row r="4" spans="1:22">
      <c r="A4" s="6" t="s">
        <v>622</v>
      </c>
      <c r="B4" s="6">
        <v>14</v>
      </c>
      <c r="C4" s="6">
        <v>25</v>
      </c>
      <c r="D4" s="6">
        <v>61</v>
      </c>
      <c r="E4" s="6">
        <v>14</v>
      </c>
    </row>
    <row r="5" spans="1:22">
      <c r="A5" s="6" t="s">
        <v>623</v>
      </c>
      <c r="B5" s="6">
        <v>27</v>
      </c>
      <c r="C5" s="6">
        <v>24</v>
      </c>
      <c r="D5" s="6">
        <v>49</v>
      </c>
      <c r="E5" s="6">
        <v>9</v>
      </c>
    </row>
    <row r="6" spans="1:22">
      <c r="A6" s="6" t="s">
        <v>624</v>
      </c>
      <c r="B6" s="6">
        <v>29</v>
      </c>
      <c r="C6" s="6">
        <v>16</v>
      </c>
      <c r="D6" s="6">
        <v>54</v>
      </c>
      <c r="E6" s="6">
        <v>6</v>
      </c>
    </row>
    <row r="7" spans="1:22">
      <c r="A7" s="6" t="s">
        <v>625</v>
      </c>
      <c r="B7" s="6">
        <v>30</v>
      </c>
      <c r="C7" s="6">
        <v>29</v>
      </c>
      <c r="D7" s="6">
        <v>41</v>
      </c>
      <c r="E7" s="6">
        <v>15</v>
      </c>
    </row>
    <row r="8" spans="1:22">
      <c r="A8" s="6" t="s">
        <v>626</v>
      </c>
      <c r="B8" s="6">
        <v>31</v>
      </c>
      <c r="C8" s="6">
        <v>22</v>
      </c>
      <c r="D8" s="6">
        <v>48</v>
      </c>
      <c r="E8" s="6">
        <v>5</v>
      </c>
    </row>
    <row r="9" spans="1:22">
      <c r="A9" s="6" t="s">
        <v>627</v>
      </c>
      <c r="B9" s="6">
        <v>35</v>
      </c>
      <c r="C9" s="6">
        <v>27</v>
      </c>
      <c r="D9" s="6">
        <v>38</v>
      </c>
      <c r="E9" s="6">
        <v>11</v>
      </c>
    </row>
    <row r="10" spans="1:22">
      <c r="A10" s="6" t="s">
        <v>628</v>
      </c>
      <c r="B10" s="6">
        <v>54</v>
      </c>
      <c r="C10" s="6">
        <v>22</v>
      </c>
      <c r="D10" s="6">
        <v>24</v>
      </c>
      <c r="E10" s="6">
        <v>9</v>
      </c>
    </row>
    <row r="11" spans="1:22">
      <c r="A11" s="6" t="s">
        <v>629</v>
      </c>
      <c r="B11" s="6">
        <v>60</v>
      </c>
      <c r="C11" s="6">
        <v>21</v>
      </c>
      <c r="D11" s="6">
        <v>20</v>
      </c>
      <c r="E11" s="6">
        <v>5</v>
      </c>
    </row>
  </sheetData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8922-1DE7-46EB-A711-004874646151}">
  <dimension ref="A1:C12"/>
  <sheetViews>
    <sheetView workbookViewId="0">
      <selection activeCell="B12" sqref="B12"/>
    </sheetView>
  </sheetViews>
  <sheetFormatPr baseColWidth="10" defaultColWidth="11.44140625" defaultRowHeight="14.4"/>
  <cols>
    <col min="1" max="1" width="41.5546875" style="6" customWidth="1"/>
    <col min="2" max="16384" width="11.44140625" style="6"/>
  </cols>
  <sheetData>
    <row r="1" spans="1:3">
      <c r="A1" s="7" t="s">
        <v>540</v>
      </c>
      <c r="B1" s="7" t="s">
        <v>541</v>
      </c>
    </row>
    <row r="4" spans="1:3">
      <c r="B4" s="6" t="s">
        <v>630</v>
      </c>
      <c r="C4" s="6" t="s">
        <v>631</v>
      </c>
    </row>
    <row r="5" spans="1:3">
      <c r="A5" s="6" t="s">
        <v>632</v>
      </c>
      <c r="B5" s="6">
        <v>31</v>
      </c>
      <c r="C5" s="6">
        <v>31</v>
      </c>
    </row>
    <row r="6" spans="1:3">
      <c r="A6" s="6" t="s">
        <v>633</v>
      </c>
      <c r="B6" s="6">
        <v>55</v>
      </c>
      <c r="C6" s="6">
        <v>60</v>
      </c>
    </row>
    <row r="7" spans="1:3">
      <c r="A7" s="6" t="s">
        <v>634</v>
      </c>
      <c r="B7" s="6">
        <v>64</v>
      </c>
      <c r="C7" s="6">
        <v>60</v>
      </c>
    </row>
    <row r="8" spans="1:3">
      <c r="A8" s="6" t="s">
        <v>635</v>
      </c>
      <c r="B8" s="6">
        <v>64</v>
      </c>
      <c r="C8" s="6">
        <v>60</v>
      </c>
    </row>
    <row r="9" spans="1:3">
      <c r="A9" s="6" t="s">
        <v>636</v>
      </c>
      <c r="B9" s="6">
        <v>72</v>
      </c>
      <c r="C9" s="6">
        <v>61</v>
      </c>
    </row>
    <row r="10" spans="1:3">
      <c r="A10" s="6" t="s">
        <v>637</v>
      </c>
      <c r="B10" s="6">
        <v>75</v>
      </c>
      <c r="C10" s="6">
        <v>75</v>
      </c>
    </row>
    <row r="11" spans="1:3">
      <c r="A11" s="6" t="s">
        <v>638</v>
      </c>
      <c r="B11" s="6">
        <v>76</v>
      </c>
      <c r="C11" s="6">
        <v>74</v>
      </c>
    </row>
    <row r="12" spans="1:3">
      <c r="A12" s="6" t="s">
        <v>639</v>
      </c>
      <c r="B12" s="6">
        <v>79</v>
      </c>
      <c r="C12" s="6">
        <v>60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A111-4572-464E-8D49-83214F108F1F}">
  <dimension ref="A1:C10"/>
  <sheetViews>
    <sheetView workbookViewId="0">
      <selection activeCell="A38" sqref="A38"/>
    </sheetView>
  </sheetViews>
  <sheetFormatPr baseColWidth="10" defaultColWidth="11.44140625" defaultRowHeight="14.4"/>
  <cols>
    <col min="1" max="1" width="53.44140625" style="6" bestFit="1" customWidth="1"/>
    <col min="2" max="16384" width="11.44140625" style="6"/>
  </cols>
  <sheetData>
    <row r="1" spans="1:3">
      <c r="A1" s="7" t="s">
        <v>542</v>
      </c>
      <c r="B1" s="7" t="s">
        <v>543</v>
      </c>
    </row>
    <row r="3" spans="1:3">
      <c r="B3" s="6" t="s">
        <v>640</v>
      </c>
      <c r="C3" s="6" t="s">
        <v>641</v>
      </c>
    </row>
    <row r="4" spans="1:3">
      <c r="A4" s="6" t="s">
        <v>642</v>
      </c>
      <c r="B4" s="6">
        <v>21</v>
      </c>
      <c r="C4" s="6">
        <v>54</v>
      </c>
    </row>
    <row r="5" spans="1:3">
      <c r="A5" s="6" t="s">
        <v>643</v>
      </c>
      <c r="B5" s="6">
        <v>24</v>
      </c>
      <c r="C5" s="6">
        <v>50</v>
      </c>
    </row>
    <row r="6" spans="1:3">
      <c r="A6" s="6" t="s">
        <v>644</v>
      </c>
      <c r="B6" s="6">
        <v>34</v>
      </c>
      <c r="C6" s="6">
        <v>47</v>
      </c>
    </row>
    <row r="7" spans="1:3">
      <c r="A7" s="6" t="s">
        <v>645</v>
      </c>
      <c r="B7" s="6">
        <v>24</v>
      </c>
      <c r="C7" s="6">
        <v>36</v>
      </c>
    </row>
    <row r="8" spans="1:3">
      <c r="A8" s="6" t="s">
        <v>646</v>
      </c>
      <c r="B8" s="6">
        <v>31</v>
      </c>
      <c r="C8" s="6">
        <v>33</v>
      </c>
    </row>
    <row r="9" spans="1:3">
      <c r="A9" s="6" t="s">
        <v>647</v>
      </c>
      <c r="B9" s="6">
        <v>39</v>
      </c>
      <c r="C9" s="6">
        <v>27</v>
      </c>
    </row>
    <row r="10" spans="1:3">
      <c r="A10" s="6" t="s">
        <v>648</v>
      </c>
      <c r="B10" s="6">
        <v>53</v>
      </c>
      <c r="C10" s="6">
        <v>22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D08C-F82C-4908-898B-121D9081FC22}">
  <dimension ref="A1:C13"/>
  <sheetViews>
    <sheetView zoomScaleNormal="100" workbookViewId="0">
      <selection activeCell="A13" sqref="A13"/>
    </sheetView>
  </sheetViews>
  <sheetFormatPr baseColWidth="10" defaultColWidth="11.44140625" defaultRowHeight="14.4"/>
  <cols>
    <col min="1" max="1" width="114" style="6" customWidth="1"/>
    <col min="2" max="16384" width="11.44140625" style="6"/>
  </cols>
  <sheetData>
    <row r="1" spans="1:3">
      <c r="A1" s="7" t="s">
        <v>544</v>
      </c>
      <c r="B1" s="7" t="s">
        <v>545</v>
      </c>
    </row>
    <row r="3" spans="1:3">
      <c r="B3" s="6" t="s">
        <v>631</v>
      </c>
      <c r="C3" s="6" t="s">
        <v>630</v>
      </c>
    </row>
    <row r="4" spans="1:3">
      <c r="A4" s="6" t="s">
        <v>649</v>
      </c>
      <c r="B4" s="6">
        <v>11</v>
      </c>
      <c r="C4" s="6">
        <v>10</v>
      </c>
    </row>
    <row r="5" spans="1:3">
      <c r="A5" s="6" t="s">
        <v>650</v>
      </c>
      <c r="B5" s="6">
        <v>10</v>
      </c>
      <c r="C5" s="6">
        <v>11</v>
      </c>
    </row>
    <row r="6" spans="1:3">
      <c r="A6" s="6" t="s">
        <v>651</v>
      </c>
      <c r="B6" s="6">
        <v>17</v>
      </c>
      <c r="C6" s="6">
        <v>11</v>
      </c>
    </row>
    <row r="7" spans="1:3">
      <c r="A7" s="6" t="s">
        <v>652</v>
      </c>
      <c r="B7" s="6">
        <v>28</v>
      </c>
      <c r="C7" s="6">
        <v>15</v>
      </c>
    </row>
    <row r="8" spans="1:3">
      <c r="A8" s="6" t="s">
        <v>653</v>
      </c>
      <c r="B8" s="6">
        <v>18</v>
      </c>
      <c r="C8" s="6">
        <v>15</v>
      </c>
    </row>
    <row r="9" spans="1:3">
      <c r="A9" s="6" t="s">
        <v>654</v>
      </c>
      <c r="B9" s="6">
        <v>26</v>
      </c>
      <c r="C9" s="6">
        <v>16</v>
      </c>
    </row>
    <row r="10" spans="1:3">
      <c r="A10" s="6" t="s">
        <v>655</v>
      </c>
      <c r="B10" s="6">
        <v>33</v>
      </c>
      <c r="C10" s="6">
        <v>25</v>
      </c>
    </row>
    <row r="11" spans="1:3">
      <c r="A11" s="6" t="s">
        <v>656</v>
      </c>
      <c r="B11" s="6">
        <v>23</v>
      </c>
      <c r="C11" s="6">
        <v>73</v>
      </c>
    </row>
    <row r="12" spans="1:3">
      <c r="A12" s="6" t="s">
        <v>657</v>
      </c>
      <c r="B12" s="6">
        <v>19</v>
      </c>
      <c r="C12" s="6">
        <v>76</v>
      </c>
    </row>
    <row r="13" spans="1:3">
      <c r="A13" s="6" t="s">
        <v>658</v>
      </c>
      <c r="B13" s="6">
        <v>17</v>
      </c>
      <c r="C13" s="6">
        <v>83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C45D-639E-449E-A154-0A5E95CBCB7E}">
  <dimension ref="A1:Z88"/>
  <sheetViews>
    <sheetView zoomScaleNormal="100" workbookViewId="0">
      <selection activeCell="U9" sqref="U9"/>
    </sheetView>
  </sheetViews>
  <sheetFormatPr baseColWidth="10" defaultColWidth="11.44140625" defaultRowHeight="14.4"/>
  <cols>
    <col min="1" max="1" width="34.6640625" style="6" bestFit="1" customWidth="1"/>
    <col min="2" max="26" width="5.33203125" style="6" customWidth="1"/>
    <col min="27" max="27" width="10.88671875" style="6" customWidth="1"/>
    <col min="28" max="16384" width="11.44140625" style="6"/>
  </cols>
  <sheetData>
    <row r="1" spans="1:26" ht="409.6">
      <c r="A1" s="7" t="s">
        <v>546</v>
      </c>
      <c r="B1" s="46" t="s">
        <v>779</v>
      </c>
    </row>
    <row r="2" spans="1:26">
      <c r="A2" s="51"/>
    </row>
    <row r="5" spans="1:26">
      <c r="B5" s="7">
        <v>1995</v>
      </c>
      <c r="C5" s="7">
        <v>1996</v>
      </c>
      <c r="D5" s="7">
        <v>1997</v>
      </c>
      <c r="E5" s="7">
        <v>1998</v>
      </c>
      <c r="F5" s="7">
        <v>1999</v>
      </c>
      <c r="G5" s="7">
        <v>2000</v>
      </c>
      <c r="H5" s="7">
        <v>2001</v>
      </c>
      <c r="I5" s="7">
        <v>2002</v>
      </c>
      <c r="J5" s="7">
        <v>2003</v>
      </c>
      <c r="K5" s="7">
        <v>2004</v>
      </c>
      <c r="L5" s="7">
        <v>2005</v>
      </c>
      <c r="M5" s="7">
        <v>2006</v>
      </c>
      <c r="N5" s="7">
        <v>2007</v>
      </c>
      <c r="O5" s="7">
        <v>2008</v>
      </c>
      <c r="P5" s="7">
        <v>2009</v>
      </c>
      <c r="Q5" s="7">
        <v>2010</v>
      </c>
      <c r="R5" s="7">
        <v>2011</v>
      </c>
      <c r="S5" s="7">
        <v>2012</v>
      </c>
      <c r="T5" s="7">
        <v>2013</v>
      </c>
      <c r="U5" s="7">
        <v>2014</v>
      </c>
      <c r="V5" s="7">
        <v>2015</v>
      </c>
      <c r="W5" s="7">
        <v>2016</v>
      </c>
      <c r="X5" s="7">
        <v>2017</v>
      </c>
      <c r="Y5" s="7">
        <v>2018</v>
      </c>
      <c r="Z5" s="7">
        <v>2019</v>
      </c>
    </row>
    <row r="6" spans="1:26">
      <c r="B6" s="6">
        <v>33</v>
      </c>
      <c r="C6" s="6">
        <v>33</v>
      </c>
      <c r="D6" s="6">
        <v>33</v>
      </c>
      <c r="E6" s="6">
        <v>33</v>
      </c>
      <c r="F6" s="6">
        <v>33</v>
      </c>
      <c r="G6" s="6">
        <v>33</v>
      </c>
      <c r="H6" s="6">
        <v>33</v>
      </c>
      <c r="I6" s="6">
        <v>33</v>
      </c>
      <c r="J6" s="6">
        <v>33</v>
      </c>
      <c r="K6" s="6">
        <v>33</v>
      </c>
      <c r="L6" s="6">
        <v>33</v>
      </c>
      <c r="M6" s="6">
        <v>33</v>
      </c>
      <c r="N6" s="6">
        <v>33</v>
      </c>
      <c r="O6" s="6">
        <v>33</v>
      </c>
      <c r="P6" s="6">
        <v>33</v>
      </c>
      <c r="Q6" s="6">
        <v>33</v>
      </c>
      <c r="R6" s="6">
        <v>33</v>
      </c>
      <c r="S6" s="6">
        <v>33</v>
      </c>
      <c r="T6" s="6">
        <v>33</v>
      </c>
      <c r="U6" s="6">
        <v>33</v>
      </c>
      <c r="V6" s="6">
        <v>33</v>
      </c>
      <c r="W6" s="6">
        <v>33</v>
      </c>
      <c r="X6" s="6">
        <v>33</v>
      </c>
      <c r="Y6" s="6">
        <v>33</v>
      </c>
      <c r="Z6" s="6">
        <v>33</v>
      </c>
    </row>
    <row r="7" spans="1:26">
      <c r="A7" s="6" t="s">
        <v>659</v>
      </c>
      <c r="B7" s="6">
        <v>10</v>
      </c>
      <c r="C7" s="6">
        <v>10</v>
      </c>
      <c r="D7" s="6">
        <v>10</v>
      </c>
      <c r="E7" s="6">
        <v>10</v>
      </c>
      <c r="F7" s="6">
        <v>10</v>
      </c>
      <c r="G7" s="6">
        <v>10</v>
      </c>
      <c r="H7" s="6">
        <v>10</v>
      </c>
      <c r="I7" s="6">
        <v>10</v>
      </c>
      <c r="J7" s="6">
        <v>10</v>
      </c>
      <c r="K7" s="6">
        <v>10</v>
      </c>
      <c r="L7" s="6">
        <v>10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8</v>
      </c>
      <c r="S7" s="6">
        <v>7</v>
      </c>
      <c r="T7" s="6">
        <v>7</v>
      </c>
      <c r="U7" s="6">
        <v>7</v>
      </c>
      <c r="V7" s="6">
        <v>7</v>
      </c>
      <c r="W7" s="6">
        <v>7</v>
      </c>
      <c r="X7" s="6">
        <v>8</v>
      </c>
      <c r="Y7" s="6">
        <v>8</v>
      </c>
      <c r="Z7" s="6">
        <v>8</v>
      </c>
    </row>
    <row r="8" spans="1:26">
      <c r="A8" s="6" t="s">
        <v>660</v>
      </c>
      <c r="B8" s="6">
        <v>6</v>
      </c>
      <c r="C8" s="6">
        <v>5</v>
      </c>
      <c r="D8" s="6">
        <v>5</v>
      </c>
      <c r="E8" s="6">
        <v>5</v>
      </c>
      <c r="F8" s="6">
        <v>5</v>
      </c>
      <c r="G8" s="6">
        <v>5</v>
      </c>
      <c r="H8" s="6">
        <v>5</v>
      </c>
      <c r="I8" s="6">
        <v>5</v>
      </c>
      <c r="J8" s="6">
        <v>5</v>
      </c>
      <c r="K8" s="6">
        <v>4</v>
      </c>
      <c r="L8" s="6">
        <v>3</v>
      </c>
      <c r="M8" s="6">
        <v>4</v>
      </c>
      <c r="N8" s="6">
        <v>5</v>
      </c>
      <c r="O8" s="6">
        <v>6</v>
      </c>
      <c r="P8" s="6">
        <v>6</v>
      </c>
      <c r="Q8" s="6">
        <v>6</v>
      </c>
      <c r="R8" s="6">
        <v>5</v>
      </c>
      <c r="S8" s="6">
        <v>5</v>
      </c>
      <c r="T8" s="6">
        <v>4</v>
      </c>
      <c r="U8" s="6">
        <v>7</v>
      </c>
      <c r="V8" s="6">
        <v>7</v>
      </c>
      <c r="W8" s="6">
        <v>6</v>
      </c>
      <c r="X8" s="6">
        <v>5</v>
      </c>
      <c r="Y8" s="6">
        <v>6</v>
      </c>
      <c r="Z8" s="6">
        <v>6</v>
      </c>
    </row>
    <row r="9" spans="1:26">
      <c r="A9" s="6" t="s">
        <v>661</v>
      </c>
      <c r="B9" s="6">
        <v>6</v>
      </c>
      <c r="C9" s="6">
        <v>7</v>
      </c>
      <c r="D9" s="6">
        <v>7</v>
      </c>
      <c r="E9" s="6">
        <v>7</v>
      </c>
      <c r="F9" s="6">
        <v>7</v>
      </c>
      <c r="G9" s="6">
        <v>7</v>
      </c>
      <c r="H9" s="6">
        <v>7</v>
      </c>
      <c r="I9" s="6">
        <v>8</v>
      </c>
      <c r="J9" s="6">
        <v>8</v>
      </c>
      <c r="K9" s="6">
        <v>11</v>
      </c>
      <c r="L9" s="6">
        <v>12</v>
      </c>
      <c r="M9" s="6">
        <v>12</v>
      </c>
      <c r="N9" s="6">
        <v>11</v>
      </c>
      <c r="O9" s="6">
        <v>9</v>
      </c>
      <c r="P9" s="6">
        <v>9</v>
      </c>
      <c r="Q9" s="6">
        <v>9</v>
      </c>
      <c r="R9" s="6">
        <v>10</v>
      </c>
      <c r="S9" s="6">
        <v>10</v>
      </c>
      <c r="T9" s="6">
        <v>9</v>
      </c>
      <c r="U9" s="6">
        <v>8</v>
      </c>
      <c r="V9" s="6">
        <v>9</v>
      </c>
      <c r="W9" s="6">
        <v>9</v>
      </c>
      <c r="X9" s="6">
        <v>9</v>
      </c>
      <c r="Y9" s="6">
        <v>10</v>
      </c>
      <c r="Z9" s="6">
        <v>10</v>
      </c>
    </row>
    <row r="10" spans="1:26">
      <c r="A10" s="6" t="s">
        <v>662</v>
      </c>
      <c r="B10" s="6">
        <v>11</v>
      </c>
      <c r="C10" s="6">
        <v>11</v>
      </c>
      <c r="D10" s="6">
        <v>11</v>
      </c>
      <c r="E10" s="6">
        <v>11</v>
      </c>
      <c r="F10" s="6">
        <v>11</v>
      </c>
      <c r="G10" s="6">
        <v>11</v>
      </c>
      <c r="H10" s="6">
        <v>11</v>
      </c>
      <c r="I10" s="6">
        <v>10</v>
      </c>
      <c r="J10" s="6">
        <v>10</v>
      </c>
      <c r="K10" s="6">
        <v>8</v>
      </c>
      <c r="L10" s="6">
        <v>8</v>
      </c>
      <c r="M10" s="6">
        <v>8</v>
      </c>
      <c r="N10" s="6">
        <v>8</v>
      </c>
      <c r="O10" s="6">
        <v>9</v>
      </c>
      <c r="P10" s="6">
        <v>9</v>
      </c>
      <c r="Q10" s="6">
        <v>9</v>
      </c>
      <c r="R10" s="6">
        <v>10</v>
      </c>
      <c r="S10" s="6">
        <v>11</v>
      </c>
      <c r="T10" s="6">
        <v>13</v>
      </c>
      <c r="U10" s="6">
        <v>11</v>
      </c>
      <c r="V10" s="6">
        <v>10</v>
      </c>
      <c r="W10" s="6">
        <v>11</v>
      </c>
      <c r="X10" s="6">
        <v>11</v>
      </c>
      <c r="Y10" s="6">
        <v>9</v>
      </c>
      <c r="Z10" s="6">
        <v>9</v>
      </c>
    </row>
    <row r="13" spans="1:26">
      <c r="G13" s="7"/>
    </row>
    <row r="79" spans="1:1">
      <c r="A79" s="6">
        <v>91</v>
      </c>
    </row>
    <row r="80" spans="1:1">
      <c r="A80" s="6">
        <v>92</v>
      </c>
    </row>
    <row r="81" spans="1:1">
      <c r="A81" s="6">
        <v>93</v>
      </c>
    </row>
    <row r="82" spans="1:1">
      <c r="A82" s="6">
        <v>94</v>
      </c>
    </row>
    <row r="83" spans="1:1">
      <c r="A83" s="6">
        <v>95</v>
      </c>
    </row>
    <row r="84" spans="1:1">
      <c r="A84" s="6">
        <v>96</v>
      </c>
    </row>
    <row r="85" spans="1:1">
      <c r="A85" s="6">
        <v>97</v>
      </c>
    </row>
    <row r="86" spans="1:1">
      <c r="A86" s="6">
        <v>98</v>
      </c>
    </row>
    <row r="87" spans="1:1">
      <c r="A87" s="6">
        <v>99</v>
      </c>
    </row>
    <row r="88" spans="1:1">
      <c r="A88" s="6">
        <v>100</v>
      </c>
    </row>
  </sheetData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A8C15-E169-4E2C-8E9F-BE1D86A2CDF1}">
  <dimension ref="A1:B13"/>
  <sheetViews>
    <sheetView workbookViewId="0">
      <selection activeCell="H21" sqref="H21"/>
    </sheetView>
  </sheetViews>
  <sheetFormatPr baseColWidth="10" defaultColWidth="11.44140625" defaultRowHeight="14.4"/>
  <cols>
    <col min="1" max="1" width="41.88671875" style="6" bestFit="1" customWidth="1"/>
    <col min="2" max="16384" width="11.44140625" style="6"/>
  </cols>
  <sheetData>
    <row r="1" spans="1:2">
      <c r="A1" s="7" t="s">
        <v>547</v>
      </c>
      <c r="B1" s="7" t="s">
        <v>780</v>
      </c>
    </row>
    <row r="4" spans="1:2">
      <c r="A4" s="6" t="s">
        <v>670</v>
      </c>
      <c r="B4" s="172">
        <v>116650</v>
      </c>
    </row>
    <row r="5" spans="1:2">
      <c r="A5" s="6" t="s">
        <v>669</v>
      </c>
      <c r="B5" s="172">
        <v>83644</v>
      </c>
    </row>
    <row r="6" spans="1:2">
      <c r="A6" s="6" t="s">
        <v>668</v>
      </c>
      <c r="B6" s="172">
        <v>25217</v>
      </c>
    </row>
    <row r="7" spans="1:2">
      <c r="A7" s="6" t="s">
        <v>667</v>
      </c>
      <c r="B7" s="172">
        <v>23092</v>
      </c>
    </row>
    <row r="8" spans="1:2">
      <c r="A8" s="6" t="s">
        <v>666</v>
      </c>
      <c r="B8" s="172">
        <v>18747</v>
      </c>
    </row>
    <row r="9" spans="1:2">
      <c r="A9" s="6" t="s">
        <v>665</v>
      </c>
      <c r="B9" s="172">
        <v>8640</v>
      </c>
    </row>
    <row r="10" spans="1:2">
      <c r="A10" s="6" t="s">
        <v>664</v>
      </c>
      <c r="B10" s="172">
        <v>8617</v>
      </c>
    </row>
    <row r="11" spans="1:2">
      <c r="A11" s="6" t="s">
        <v>786</v>
      </c>
      <c r="B11" s="172">
        <v>8305</v>
      </c>
    </row>
    <row r="12" spans="1:2">
      <c r="A12" s="6" t="s">
        <v>663</v>
      </c>
      <c r="B12" s="172">
        <v>1414</v>
      </c>
    </row>
    <row r="13" spans="1:2">
      <c r="B13" s="173"/>
    </row>
  </sheetData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BA11-6EAE-4062-BD41-6B10564DC0FB}">
  <dimension ref="A1:K24"/>
  <sheetViews>
    <sheetView zoomScaleNormal="100" workbookViewId="0">
      <selection activeCell="A39" sqref="A39"/>
    </sheetView>
  </sheetViews>
  <sheetFormatPr baseColWidth="10" defaultColWidth="11.44140625" defaultRowHeight="14.4"/>
  <cols>
    <col min="1" max="1" width="31.33203125" style="6" customWidth="1"/>
    <col min="2" max="2" width="13.88671875" style="6" customWidth="1"/>
    <col min="3" max="3" width="11.109375" style="6" customWidth="1"/>
    <col min="4" max="4" width="18.5546875" style="6" customWidth="1"/>
    <col min="5" max="5" width="16.6640625" style="6" customWidth="1"/>
    <col min="6" max="6" width="11.44140625" style="6" customWidth="1"/>
    <col min="7" max="7" width="13.88671875" style="6" customWidth="1"/>
    <col min="8" max="10" width="11.44140625" style="6"/>
    <col min="11" max="11" width="15.44140625" style="6" bestFit="1" customWidth="1"/>
    <col min="12" max="12" width="11.6640625" style="6" bestFit="1" customWidth="1"/>
    <col min="13" max="14" width="12.88671875" style="6" bestFit="1" customWidth="1"/>
    <col min="15" max="16384" width="11.44140625" style="6"/>
  </cols>
  <sheetData>
    <row r="1" spans="1:11" s="7" customFormat="1" ht="21.75" customHeight="1">
      <c r="A1" s="7" t="s">
        <v>548</v>
      </c>
      <c r="B1" s="7" t="s">
        <v>549</v>
      </c>
    </row>
    <row r="3" spans="1:11">
      <c r="A3" s="45"/>
    </row>
    <row r="4" spans="1:11">
      <c r="A4" s="6" t="s">
        <v>688</v>
      </c>
      <c r="B4" s="174">
        <v>472600</v>
      </c>
      <c r="C4" s="175"/>
      <c r="D4" s="175"/>
    </row>
    <row r="5" spans="1:11">
      <c r="A5" s="6" t="s">
        <v>687</v>
      </c>
      <c r="B5" s="174">
        <v>464700</v>
      </c>
      <c r="C5" s="175"/>
      <c r="D5" s="175"/>
    </row>
    <row r="6" spans="1:11">
      <c r="A6" s="6" t="s">
        <v>686</v>
      </c>
      <c r="B6" s="174">
        <v>436400</v>
      </c>
      <c r="C6" s="175"/>
      <c r="D6" s="175"/>
      <c r="I6" s="175"/>
      <c r="J6" s="176"/>
      <c r="K6" s="177"/>
    </row>
    <row r="7" spans="1:11">
      <c r="A7" s="6" t="s">
        <v>685</v>
      </c>
      <c r="B7" s="174">
        <v>433400</v>
      </c>
      <c r="C7" s="175"/>
      <c r="D7" s="175"/>
      <c r="I7" s="175"/>
      <c r="J7" s="176"/>
      <c r="K7" s="177"/>
    </row>
    <row r="8" spans="1:11">
      <c r="A8" s="6" t="s">
        <v>684</v>
      </c>
      <c r="B8" s="174">
        <v>429100</v>
      </c>
      <c r="C8" s="175"/>
      <c r="D8" s="175"/>
      <c r="I8" s="175"/>
      <c r="J8" s="176"/>
      <c r="K8" s="176"/>
    </row>
    <row r="9" spans="1:11">
      <c r="A9" s="6" t="s">
        <v>683</v>
      </c>
      <c r="B9" s="174">
        <v>421300</v>
      </c>
      <c r="C9" s="175"/>
      <c r="D9" s="175"/>
    </row>
    <row r="10" spans="1:11">
      <c r="A10" s="6" t="s">
        <v>682</v>
      </c>
      <c r="B10" s="174">
        <v>419100</v>
      </c>
      <c r="C10" s="175"/>
      <c r="D10" s="175"/>
    </row>
    <row r="11" spans="1:11">
      <c r="A11" s="6" t="s">
        <v>681</v>
      </c>
      <c r="B11" s="174">
        <v>416600</v>
      </c>
      <c r="C11" s="175"/>
      <c r="D11" s="175"/>
    </row>
    <row r="12" spans="1:11">
      <c r="A12" s="6" t="s">
        <v>666</v>
      </c>
      <c r="B12" s="174">
        <v>403700</v>
      </c>
      <c r="C12" s="175"/>
      <c r="D12" s="175"/>
    </row>
    <row r="13" spans="1:11">
      <c r="A13" s="6" t="s">
        <v>680</v>
      </c>
      <c r="B13" s="174">
        <v>401800</v>
      </c>
      <c r="C13" s="175"/>
      <c r="D13" s="175"/>
      <c r="I13" s="175"/>
      <c r="J13" s="176"/>
      <c r="K13" s="176"/>
    </row>
    <row r="14" spans="1:11">
      <c r="A14" s="6" t="s">
        <v>679</v>
      </c>
      <c r="B14" s="174">
        <v>398800</v>
      </c>
      <c r="C14" s="175"/>
      <c r="D14" s="175"/>
      <c r="I14" s="175"/>
      <c r="J14" s="177"/>
      <c r="K14" s="177"/>
    </row>
    <row r="15" spans="1:11">
      <c r="A15" s="6" t="s">
        <v>663</v>
      </c>
      <c r="B15" s="174">
        <v>395100</v>
      </c>
      <c r="C15" s="175"/>
      <c r="D15" s="175"/>
      <c r="I15" s="175"/>
      <c r="J15" s="176"/>
      <c r="K15" s="176"/>
    </row>
    <row r="16" spans="1:11">
      <c r="A16" s="6" t="s">
        <v>678</v>
      </c>
      <c r="B16" s="174">
        <v>391300</v>
      </c>
      <c r="C16" s="175"/>
      <c r="D16" s="175"/>
    </row>
    <row r="17" spans="1:11">
      <c r="A17" s="6" t="s">
        <v>677</v>
      </c>
      <c r="B17" s="174">
        <v>387800</v>
      </c>
      <c r="C17" s="175"/>
      <c r="D17" s="175"/>
    </row>
    <row r="18" spans="1:11">
      <c r="A18" s="6" t="s">
        <v>676</v>
      </c>
      <c r="B18" s="174">
        <v>381300</v>
      </c>
      <c r="C18" s="175"/>
      <c r="D18" s="175"/>
    </row>
    <row r="19" spans="1:11">
      <c r="A19" s="6" t="s">
        <v>675</v>
      </c>
      <c r="B19" s="174">
        <v>372000</v>
      </c>
      <c r="C19" s="175"/>
      <c r="D19" s="175"/>
      <c r="I19" s="175"/>
      <c r="J19" s="178"/>
      <c r="K19" s="175"/>
    </row>
    <row r="20" spans="1:11">
      <c r="A20" s="6" t="s">
        <v>674</v>
      </c>
      <c r="B20" s="174">
        <v>364000</v>
      </c>
      <c r="C20" s="175"/>
      <c r="D20" s="175"/>
      <c r="I20" s="175"/>
      <c r="J20" s="177"/>
      <c r="K20" s="175"/>
    </row>
    <row r="21" spans="1:11">
      <c r="A21" s="6" t="s">
        <v>673</v>
      </c>
      <c r="B21" s="174">
        <v>321400</v>
      </c>
      <c r="C21" s="175"/>
      <c r="D21" s="175"/>
      <c r="I21" s="175"/>
      <c r="J21" s="176"/>
      <c r="K21" s="176"/>
    </row>
    <row r="22" spans="1:11">
      <c r="A22" s="6" t="s">
        <v>672</v>
      </c>
      <c r="B22" s="174">
        <v>293300</v>
      </c>
      <c r="C22" s="175"/>
      <c r="D22" s="175"/>
      <c r="I22" s="175"/>
      <c r="J22" s="176"/>
      <c r="K22" s="176"/>
    </row>
    <row r="23" spans="1:11">
      <c r="A23" s="6" t="s">
        <v>671</v>
      </c>
      <c r="B23" s="174">
        <v>282600</v>
      </c>
      <c r="C23" s="175"/>
      <c r="D23" s="175"/>
    </row>
    <row r="24" spans="1:11">
      <c r="C24" s="175"/>
      <c r="D24" s="175"/>
      <c r="J24" s="176"/>
      <c r="K24" s="175"/>
    </row>
  </sheetData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C4E5-5B25-468E-AFDC-01832336926F}">
  <dimension ref="A1:B23"/>
  <sheetViews>
    <sheetView workbookViewId="0">
      <selection activeCell="M26" sqref="M26"/>
    </sheetView>
  </sheetViews>
  <sheetFormatPr baseColWidth="10" defaultColWidth="11.44140625" defaultRowHeight="14.4"/>
  <cols>
    <col min="1" max="16384" width="11.44140625" style="6"/>
  </cols>
  <sheetData>
    <row r="1" spans="1:2">
      <c r="A1" s="7" t="s">
        <v>550</v>
      </c>
      <c r="B1" s="7" t="s">
        <v>551</v>
      </c>
    </row>
    <row r="3" spans="1:2">
      <c r="A3" s="6" t="s">
        <v>56</v>
      </c>
      <c r="B3" s="180">
        <v>66.325035077707398</v>
      </c>
    </row>
    <row r="4" spans="1:2">
      <c r="A4" s="6" t="s">
        <v>58</v>
      </c>
      <c r="B4" s="180">
        <v>61.687741131261497</v>
      </c>
    </row>
    <row r="5" spans="1:2">
      <c r="A5" s="6" t="s">
        <v>45</v>
      </c>
      <c r="B5" s="180">
        <v>60.887939382021003</v>
      </c>
    </row>
    <row r="6" spans="1:2">
      <c r="A6" s="6" t="s">
        <v>394</v>
      </c>
      <c r="B6" s="180">
        <v>58.032987171655499</v>
      </c>
    </row>
    <row r="7" spans="1:2">
      <c r="A7" s="6" t="s">
        <v>330</v>
      </c>
      <c r="B7" s="180">
        <v>54.704681351634797</v>
      </c>
    </row>
    <row r="8" spans="1:2">
      <c r="A8" s="6" t="s">
        <v>689</v>
      </c>
      <c r="B8" s="180">
        <v>54.161144892317203</v>
      </c>
    </row>
    <row r="9" spans="1:2">
      <c r="A9" s="6" t="s">
        <v>53</v>
      </c>
      <c r="B9" s="180">
        <v>52.569155356569397</v>
      </c>
    </row>
    <row r="10" spans="1:2">
      <c r="A10" s="6" t="s">
        <v>60</v>
      </c>
      <c r="B10" s="180">
        <v>52.076906092943901</v>
      </c>
    </row>
    <row r="11" spans="1:2">
      <c r="A11" s="6" t="s">
        <v>62</v>
      </c>
      <c r="B11" s="180">
        <v>50.764811969808299</v>
      </c>
    </row>
    <row r="12" spans="1:2">
      <c r="A12" s="6" t="s">
        <v>51</v>
      </c>
      <c r="B12" s="180">
        <v>50.6065422752256</v>
      </c>
    </row>
    <row r="13" spans="1:2">
      <c r="A13" s="6" t="s">
        <v>361</v>
      </c>
      <c r="B13" s="180">
        <v>49.523982817342102</v>
      </c>
    </row>
    <row r="14" spans="1:2">
      <c r="A14" s="6" t="s">
        <v>64</v>
      </c>
      <c r="B14" s="180">
        <v>47.998930577892402</v>
      </c>
    </row>
    <row r="15" spans="1:2">
      <c r="A15" s="6" t="s">
        <v>43</v>
      </c>
      <c r="B15" s="180">
        <v>47.514425949085798</v>
      </c>
    </row>
    <row r="16" spans="1:2">
      <c r="A16" s="6" t="s">
        <v>690</v>
      </c>
      <c r="B16" s="180">
        <v>46.618736480281697</v>
      </c>
    </row>
    <row r="17" spans="1:2">
      <c r="A17" s="6" t="s">
        <v>329</v>
      </c>
      <c r="B17" s="180">
        <v>46.412103204825101</v>
      </c>
    </row>
    <row r="18" spans="1:2">
      <c r="A18" s="6" t="s">
        <v>48</v>
      </c>
      <c r="B18" s="180">
        <v>46.1064018401377</v>
      </c>
    </row>
    <row r="19" spans="1:2">
      <c r="A19" s="6" t="s">
        <v>459</v>
      </c>
      <c r="B19" s="180">
        <v>43.294671013950499</v>
      </c>
    </row>
    <row r="20" spans="1:2">
      <c r="A20" s="6" t="s">
        <v>54</v>
      </c>
      <c r="B20" s="180">
        <v>42.867103735051799</v>
      </c>
    </row>
    <row r="21" spans="1:2">
      <c r="A21" s="6" t="s">
        <v>50</v>
      </c>
      <c r="B21" s="180">
        <v>40.883985011756998</v>
      </c>
    </row>
    <row r="22" spans="1:2">
      <c r="A22" s="6" t="s">
        <v>57</v>
      </c>
      <c r="B22" s="180">
        <v>38.913244580300002</v>
      </c>
    </row>
    <row r="23" spans="1:2">
      <c r="A23" s="6" t="s">
        <v>0</v>
      </c>
      <c r="B23" s="180">
        <v>27.379154078549799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82DF-436B-4336-89A6-5305DAE0FF32}">
  <dimension ref="A1:P58"/>
  <sheetViews>
    <sheetView workbookViewId="0">
      <selection activeCell="I56" sqref="I56"/>
    </sheetView>
  </sheetViews>
  <sheetFormatPr baseColWidth="10" defaultColWidth="11.44140625" defaultRowHeight="14.4"/>
  <cols>
    <col min="1" max="16384" width="11.44140625" style="6"/>
  </cols>
  <sheetData>
    <row r="1" spans="1:2">
      <c r="A1" s="100" t="s">
        <v>552</v>
      </c>
      <c r="B1" s="7" t="s">
        <v>553</v>
      </c>
    </row>
    <row r="3" spans="1:2" ht="20.25" customHeight="1">
      <c r="A3" s="6" t="s">
        <v>45</v>
      </c>
      <c r="B3" s="181">
        <v>13.82</v>
      </c>
    </row>
    <row r="4" spans="1:2">
      <c r="A4" s="6" t="s">
        <v>689</v>
      </c>
      <c r="B4" s="181">
        <v>13.5632391145786</v>
      </c>
    </row>
    <row r="5" spans="1:2">
      <c r="A5" s="6" t="s">
        <v>53</v>
      </c>
      <c r="B5" s="181">
        <v>13.55</v>
      </c>
    </row>
    <row r="6" spans="1:2">
      <c r="A6" s="6" t="s">
        <v>50</v>
      </c>
      <c r="B6" s="181">
        <v>12.6536891097825</v>
      </c>
    </row>
    <row r="7" spans="1:2">
      <c r="A7" s="6" t="s">
        <v>48</v>
      </c>
      <c r="B7" s="181">
        <v>12.0289467943393</v>
      </c>
    </row>
    <row r="8" spans="1:2">
      <c r="A8" s="6" t="s">
        <v>394</v>
      </c>
      <c r="B8" s="181">
        <v>11.800266294779499</v>
      </c>
    </row>
    <row r="9" spans="1:2">
      <c r="A9" s="6" t="s">
        <v>361</v>
      </c>
      <c r="B9" s="181">
        <v>11.3552539104474</v>
      </c>
    </row>
    <row r="10" spans="1:2">
      <c r="A10" s="6" t="s">
        <v>43</v>
      </c>
      <c r="B10" s="181">
        <v>10.0557856681112</v>
      </c>
    </row>
    <row r="11" spans="1:2">
      <c r="A11" s="6" t="s">
        <v>58</v>
      </c>
      <c r="B11" s="181">
        <v>9.5728254816794696</v>
      </c>
    </row>
    <row r="12" spans="1:2">
      <c r="A12" s="6" t="s">
        <v>60</v>
      </c>
      <c r="B12" s="181">
        <v>8.4236033844495193</v>
      </c>
    </row>
    <row r="13" spans="1:2">
      <c r="A13" s="6" t="s">
        <v>329</v>
      </c>
      <c r="B13" s="181">
        <v>8.0001574975077805</v>
      </c>
    </row>
    <row r="14" spans="1:2">
      <c r="A14" s="6" t="s">
        <v>56</v>
      </c>
      <c r="B14" s="181">
        <v>7.3808448647683704</v>
      </c>
    </row>
    <row r="15" spans="1:2">
      <c r="A15" s="6" t="s">
        <v>0</v>
      </c>
      <c r="B15" s="181">
        <v>7.25</v>
      </c>
    </row>
    <row r="16" spans="1:2">
      <c r="A16" s="6" t="s">
        <v>330</v>
      </c>
      <c r="B16" s="181">
        <v>6.6414651760923</v>
      </c>
    </row>
    <row r="17" spans="1:2">
      <c r="A17" s="6" t="s">
        <v>459</v>
      </c>
      <c r="B17" s="181">
        <v>6.2912418147778801</v>
      </c>
    </row>
    <row r="18" spans="1:2">
      <c r="A18" s="6" t="s">
        <v>51</v>
      </c>
      <c r="B18" s="181">
        <v>6.2</v>
      </c>
    </row>
    <row r="19" spans="1:2">
      <c r="A19" s="4" t="s">
        <v>690</v>
      </c>
      <c r="B19" s="181">
        <v>6.1771058100915299</v>
      </c>
    </row>
    <row r="20" spans="1:2">
      <c r="A20" s="6" t="s">
        <v>64</v>
      </c>
      <c r="B20" s="181">
        <v>6.1620413803583496</v>
      </c>
    </row>
    <row r="21" spans="1:2">
      <c r="A21" s="6" t="s">
        <v>54</v>
      </c>
      <c r="B21" s="181">
        <v>5.7220704407624901</v>
      </c>
    </row>
    <row r="22" spans="1:2">
      <c r="A22" s="6" t="s">
        <v>62</v>
      </c>
      <c r="B22" s="181">
        <v>5.6652984436463099</v>
      </c>
    </row>
    <row r="23" spans="1:2">
      <c r="A23" s="6" t="s">
        <v>691</v>
      </c>
      <c r="B23" s="181">
        <v>5.1219999999999999</v>
      </c>
    </row>
    <row r="24" spans="1:2">
      <c r="A24" s="6" t="s">
        <v>57</v>
      </c>
      <c r="B24" s="181">
        <v>4.8329830379556</v>
      </c>
    </row>
    <row r="39" spans="15:16">
      <c r="O39" s="182"/>
      <c r="P39" s="183"/>
    </row>
    <row r="40" spans="15:16">
      <c r="O40" s="182"/>
      <c r="P40" s="183"/>
    </row>
    <row r="41" spans="15:16">
      <c r="O41" s="182"/>
      <c r="P41" s="183"/>
    </row>
    <row r="42" spans="15:16">
      <c r="O42" s="182"/>
      <c r="P42" s="183"/>
    </row>
    <row r="43" spans="15:16">
      <c r="O43" s="182"/>
      <c r="P43" s="183"/>
    </row>
    <row r="44" spans="15:16">
      <c r="O44" s="182"/>
      <c r="P44" s="183"/>
    </row>
    <row r="45" spans="15:16">
      <c r="O45" s="182"/>
      <c r="P45" s="183"/>
    </row>
    <row r="46" spans="15:16">
      <c r="O46" s="182"/>
      <c r="P46" s="183"/>
    </row>
    <row r="47" spans="15:16">
      <c r="O47" s="182"/>
      <c r="P47" s="183"/>
    </row>
    <row r="48" spans="15:16">
      <c r="O48" s="182"/>
      <c r="P48" s="183"/>
    </row>
    <row r="49" spans="15:16">
      <c r="O49" s="182"/>
      <c r="P49" s="183"/>
    </row>
    <row r="50" spans="15:16">
      <c r="O50" s="182"/>
      <c r="P50" s="183"/>
    </row>
    <row r="51" spans="15:16">
      <c r="O51" s="182"/>
      <c r="P51" s="183"/>
    </row>
    <row r="52" spans="15:16">
      <c r="O52" s="182"/>
      <c r="P52" s="183"/>
    </row>
    <row r="53" spans="15:16">
      <c r="O53" s="182"/>
      <c r="P53" s="183"/>
    </row>
    <row r="54" spans="15:16">
      <c r="O54" s="182"/>
      <c r="P54" s="183"/>
    </row>
    <row r="55" spans="15:16">
      <c r="O55" s="182"/>
      <c r="P55" s="183"/>
    </row>
    <row r="56" spans="15:16">
      <c r="O56" s="182"/>
      <c r="P56" s="183"/>
    </row>
    <row r="57" spans="15:16">
      <c r="O57" s="182"/>
      <c r="P57" s="183"/>
    </row>
    <row r="58" spans="15:16">
      <c r="O58" s="182"/>
      <c r="P58" s="183"/>
    </row>
  </sheetData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820F-5769-4C6E-ACA0-FC43BE49C470}">
  <dimension ref="A1:B43"/>
  <sheetViews>
    <sheetView zoomScaleNormal="100" workbookViewId="0">
      <selection activeCell="G15" sqref="G15"/>
    </sheetView>
  </sheetViews>
  <sheetFormatPr baseColWidth="10" defaultColWidth="11.44140625" defaultRowHeight="14.4"/>
  <cols>
    <col min="1" max="16384" width="11.44140625" style="6"/>
  </cols>
  <sheetData>
    <row r="1" spans="1:2">
      <c r="A1" s="7" t="s">
        <v>693</v>
      </c>
      <c r="B1" s="7" t="s">
        <v>738</v>
      </c>
    </row>
    <row r="2" spans="1:2">
      <c r="A2" s="10"/>
    </row>
    <row r="4" spans="1:2">
      <c r="A4" s="6">
        <v>60000</v>
      </c>
      <c r="B4" s="6">
        <v>2.5889700000000001E-4</v>
      </c>
    </row>
    <row r="5" spans="1:2">
      <c r="A5" s="6">
        <v>120000</v>
      </c>
      <c r="B5" s="6">
        <v>4.2466639999999998E-3</v>
      </c>
    </row>
    <row r="6" spans="1:2">
      <c r="A6" s="6">
        <v>180000</v>
      </c>
      <c r="B6" s="6">
        <v>8.5233570000000005E-3</v>
      </c>
    </row>
    <row r="7" spans="1:2">
      <c r="A7" s="6">
        <v>240000</v>
      </c>
      <c r="B7" s="6">
        <v>0.18626477899999999</v>
      </c>
    </row>
    <row r="8" spans="1:2">
      <c r="A8" s="6">
        <v>300000</v>
      </c>
      <c r="B8" s="6">
        <v>1.0983959329999999</v>
      </c>
    </row>
    <row r="9" spans="1:2">
      <c r="A9" s="6">
        <v>360000</v>
      </c>
      <c r="B9" s="6">
        <v>4.5176954470000004</v>
      </c>
    </row>
    <row r="10" spans="1:2">
      <c r="A10" s="6">
        <v>420000</v>
      </c>
      <c r="B10" s="6">
        <v>10.27256012</v>
      </c>
    </row>
    <row r="11" spans="1:2">
      <c r="A11" s="6">
        <v>480000</v>
      </c>
      <c r="B11" s="6">
        <v>15.179692770000001</v>
      </c>
    </row>
    <row r="12" spans="1:2">
      <c r="A12" s="6">
        <v>540000</v>
      </c>
      <c r="B12" s="6">
        <v>14.720809450000001</v>
      </c>
    </row>
    <row r="13" spans="1:2">
      <c r="A13" s="6">
        <v>600000</v>
      </c>
      <c r="B13" s="6">
        <v>13.39860382</v>
      </c>
    </row>
    <row r="14" spans="1:2">
      <c r="A14" s="6">
        <v>660000</v>
      </c>
      <c r="B14" s="6">
        <v>9.8489928530000004</v>
      </c>
    </row>
    <row r="15" spans="1:2">
      <c r="A15" s="6">
        <v>720000</v>
      </c>
      <c r="B15" s="6">
        <v>7.1577559170000002</v>
      </c>
    </row>
    <row r="16" spans="1:2">
      <c r="A16" s="6">
        <v>780000</v>
      </c>
      <c r="B16" s="6">
        <v>5.1656812490000004</v>
      </c>
    </row>
    <row r="17" spans="1:2">
      <c r="A17" s="6">
        <v>840000</v>
      </c>
      <c r="B17" s="6">
        <v>3.8387625089999999</v>
      </c>
    </row>
    <row r="18" spans="1:2">
      <c r="A18" s="6">
        <v>900000</v>
      </c>
      <c r="B18" s="6">
        <v>2.999747985</v>
      </c>
    </row>
    <row r="19" spans="1:2">
      <c r="A19" s="6">
        <v>960000</v>
      </c>
      <c r="B19" s="6">
        <v>2.3329579319999998</v>
      </c>
    </row>
    <row r="20" spans="1:2">
      <c r="A20" s="6">
        <v>1020000</v>
      </c>
      <c r="B20" s="6">
        <v>1.754510067</v>
      </c>
    </row>
    <row r="21" spans="1:2">
      <c r="A21" s="6">
        <v>1080000</v>
      </c>
      <c r="B21" s="6">
        <v>1.4047842150000001</v>
      </c>
    </row>
    <row r="22" spans="1:2">
      <c r="A22" s="6">
        <v>1140000</v>
      </c>
      <c r="B22" s="6">
        <v>1.0037841780000001</v>
      </c>
    </row>
    <row r="23" spans="1:2">
      <c r="A23" s="6">
        <v>1200000</v>
      </c>
      <c r="B23" s="6">
        <v>0.920251504</v>
      </c>
    </row>
    <row r="24" spans="1:2">
      <c r="A24" s="6">
        <v>1260000</v>
      </c>
      <c r="B24" s="6">
        <v>0.67264252800000002</v>
      </c>
    </row>
    <row r="25" spans="1:2">
      <c r="A25" s="6">
        <v>1320000</v>
      </c>
      <c r="B25" s="6">
        <v>0.58213958499999996</v>
      </c>
    </row>
    <row r="26" spans="1:2">
      <c r="A26" s="6">
        <v>1380000</v>
      </c>
      <c r="B26" s="6">
        <v>0.46171718699999997</v>
      </c>
    </row>
    <row r="27" spans="1:2">
      <c r="A27" s="6">
        <v>1440000</v>
      </c>
      <c r="B27" s="6">
        <v>0.36118019800000001</v>
      </c>
    </row>
    <row r="28" spans="1:2">
      <c r="A28" s="6">
        <v>1500000</v>
      </c>
      <c r="B28" s="6">
        <v>0.33182028099999999</v>
      </c>
    </row>
    <row r="29" spans="1:2">
      <c r="A29" s="6">
        <v>1560000</v>
      </c>
      <c r="B29" s="6">
        <v>0.25557371400000001</v>
      </c>
    </row>
    <row r="30" spans="1:2">
      <c r="A30" s="6">
        <v>1620000</v>
      </c>
      <c r="B30" s="6">
        <v>0.21432393799999999</v>
      </c>
    </row>
    <row r="31" spans="1:2">
      <c r="A31" s="6">
        <v>1680000</v>
      </c>
      <c r="B31" s="6">
        <v>0.178055203</v>
      </c>
    </row>
    <row r="32" spans="1:2">
      <c r="A32" s="6">
        <v>1740000</v>
      </c>
      <c r="B32" s="6">
        <v>0.13564156799999999</v>
      </c>
    </row>
    <row r="33" spans="1:2">
      <c r="A33" s="6">
        <v>1800000</v>
      </c>
      <c r="B33" s="6">
        <v>0.135552383</v>
      </c>
    </row>
    <row r="34" spans="1:2">
      <c r="A34" s="6">
        <v>1860000</v>
      </c>
      <c r="B34" s="6">
        <v>0.100825439</v>
      </c>
    </row>
    <row r="35" spans="1:2">
      <c r="A35" s="6">
        <v>1920000</v>
      </c>
      <c r="B35" s="6">
        <v>8.9354312000000005E-2</v>
      </c>
    </row>
    <row r="36" spans="1:2">
      <c r="A36" s="6">
        <v>1980000</v>
      </c>
      <c r="B36" s="6">
        <v>8.3317137999999999E-2</v>
      </c>
    </row>
    <row r="37" spans="1:2">
      <c r="A37" s="6">
        <v>2040000</v>
      </c>
      <c r="B37" s="6">
        <v>5.7515801999999998E-2</v>
      </c>
    </row>
    <row r="38" spans="1:2">
      <c r="A38" s="6">
        <v>2100000</v>
      </c>
      <c r="B38" s="6">
        <v>5.7603613999999997E-2</v>
      </c>
    </row>
    <row r="39" spans="1:2">
      <c r="A39" s="6">
        <v>2160000</v>
      </c>
      <c r="B39" s="6">
        <v>4.5625135999999997E-2</v>
      </c>
    </row>
    <row r="40" spans="1:2">
      <c r="A40" s="6">
        <v>2220000</v>
      </c>
      <c r="B40" s="6">
        <v>3.8229076000000001E-2</v>
      </c>
    </row>
    <row r="41" spans="1:2">
      <c r="A41" s="6">
        <v>2280000</v>
      </c>
      <c r="B41" s="6">
        <v>3.3226313E-2</v>
      </c>
    </row>
    <row r="42" spans="1:2">
      <c r="A42" s="6">
        <v>2340000</v>
      </c>
      <c r="B42" s="6">
        <v>2.7228385000000001E-2</v>
      </c>
    </row>
    <row r="43" spans="1:2">
      <c r="A43" s="6">
        <v>2400000</v>
      </c>
      <c r="B43" s="6">
        <v>3.1104643000000001E-2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CD664-5528-4A81-A24E-90EC46F5A273}">
  <dimension ref="A1:N79"/>
  <sheetViews>
    <sheetView zoomScale="130" zoomScaleNormal="130" workbookViewId="0">
      <selection activeCell="B6" sqref="B6"/>
    </sheetView>
  </sheetViews>
  <sheetFormatPr baseColWidth="10" defaultRowHeight="14.4"/>
  <cols>
    <col min="1" max="1" width="40.88671875" customWidth="1"/>
  </cols>
  <sheetData>
    <row r="1" spans="1:8">
      <c r="A1" s="7" t="s">
        <v>66</v>
      </c>
      <c r="B1" s="7" t="s">
        <v>68</v>
      </c>
    </row>
    <row r="3" spans="1:8">
      <c r="A3" s="6"/>
    </row>
    <row r="4" spans="1:8">
      <c r="A4" s="6"/>
      <c r="B4" s="19" t="s">
        <v>26</v>
      </c>
      <c r="C4" s="19" t="s">
        <v>27</v>
      </c>
      <c r="D4" s="19" t="s">
        <v>35</v>
      </c>
      <c r="E4" s="19" t="s">
        <v>30</v>
      </c>
      <c r="F4" s="19" t="s">
        <v>31</v>
      </c>
      <c r="G4" s="19" t="s">
        <v>32</v>
      </c>
    </row>
    <row r="5" spans="1:8">
      <c r="A5" s="6" t="s">
        <v>28</v>
      </c>
      <c r="B5" s="6">
        <v>2.6</v>
      </c>
      <c r="C5" s="6">
        <v>2.2999999999999998</v>
      </c>
      <c r="D5" s="6">
        <v>2.8</v>
      </c>
      <c r="E5" s="6">
        <v>1.3</v>
      </c>
      <c r="F5" s="6">
        <v>1.3</v>
      </c>
      <c r="G5" s="6">
        <v>0.3</v>
      </c>
      <c r="H5" s="6"/>
    </row>
    <row r="6" spans="1:8">
      <c r="A6" t="s">
        <v>29</v>
      </c>
      <c r="B6" s="6">
        <v>1.2</v>
      </c>
      <c r="C6" s="6">
        <v>1.4</v>
      </c>
      <c r="D6" s="6">
        <v>2.2000000000000002</v>
      </c>
      <c r="E6" s="6">
        <v>1</v>
      </c>
      <c r="F6" s="6">
        <v>1</v>
      </c>
      <c r="G6" s="6">
        <v>0.1</v>
      </c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30" spans="1:8">
      <c r="B30" s="6"/>
      <c r="C30" s="6"/>
      <c r="D30" s="6"/>
      <c r="E30" s="6"/>
      <c r="F30" s="6"/>
      <c r="G30" s="6"/>
      <c r="H30" s="6"/>
    </row>
    <row r="32" spans="1:8">
      <c r="A32" s="6"/>
      <c r="B32" s="241"/>
      <c r="C32" s="241"/>
      <c r="D32" s="241"/>
      <c r="E32" s="241"/>
      <c r="F32" s="241"/>
      <c r="G32" s="241"/>
      <c r="H32" s="18"/>
    </row>
    <row r="33" spans="1:1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40" spans="1:13">
      <c r="A40" s="6"/>
      <c r="B40" s="6"/>
      <c r="C40" s="6"/>
      <c r="D40" s="6"/>
      <c r="E40" s="6"/>
      <c r="F40" s="6"/>
      <c r="G40" s="6"/>
      <c r="H40" s="6"/>
      <c r="I40" s="18"/>
      <c r="J40" s="241"/>
      <c r="K40" s="241"/>
      <c r="L40" s="241"/>
      <c r="M40" s="241"/>
    </row>
    <row r="41" spans="1:1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69" spans="1:14">
      <c r="H69" s="6"/>
      <c r="I69" s="6"/>
      <c r="J69" s="6"/>
      <c r="K69" s="6"/>
      <c r="L69" s="6"/>
      <c r="M69" s="6"/>
      <c r="N69" s="6"/>
    </row>
    <row r="70" spans="1:14">
      <c r="H70" s="6"/>
      <c r="I70" s="6"/>
      <c r="J70" s="6"/>
      <c r="K70" s="6"/>
      <c r="L70" s="6"/>
      <c r="M70" s="6"/>
      <c r="N70" s="6"/>
    </row>
    <row r="72" spans="1:14">
      <c r="B72" s="19"/>
      <c r="C72" s="19"/>
      <c r="D72" s="19"/>
      <c r="E72" s="19"/>
      <c r="F72" s="19"/>
      <c r="G72" s="19"/>
    </row>
    <row r="73" spans="1:14">
      <c r="A73" s="6"/>
    </row>
    <row r="74" spans="1:14">
      <c r="A74" s="6"/>
      <c r="B74" s="6"/>
      <c r="C74" s="6"/>
      <c r="D74" s="6"/>
      <c r="E74" s="6"/>
      <c r="F74" s="6"/>
      <c r="G74" s="6"/>
    </row>
    <row r="75" spans="1:14">
      <c r="A75" s="6"/>
      <c r="B75" s="6"/>
      <c r="C75" s="6"/>
      <c r="D75" s="6"/>
      <c r="E75" s="6"/>
      <c r="F75" s="6"/>
      <c r="G75" s="6"/>
    </row>
    <row r="77" spans="1:14">
      <c r="M77" s="19"/>
      <c r="N77" s="6"/>
    </row>
    <row r="78" spans="1:14">
      <c r="L78" s="6"/>
      <c r="M78" s="6"/>
    </row>
    <row r="79" spans="1:14">
      <c r="I79" s="6"/>
    </row>
  </sheetData>
  <mergeCells count="5">
    <mergeCell ref="L40:M40"/>
    <mergeCell ref="B32:C32"/>
    <mergeCell ref="D32:E32"/>
    <mergeCell ref="F32:G32"/>
    <mergeCell ref="J40:K40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7485-F523-41AF-9985-27CEE148A4D5}">
  <dimension ref="A1:C12"/>
  <sheetViews>
    <sheetView workbookViewId="0">
      <selection activeCell="G22" sqref="G22"/>
    </sheetView>
  </sheetViews>
  <sheetFormatPr baseColWidth="10" defaultColWidth="11.44140625" defaultRowHeight="14.4"/>
  <cols>
    <col min="1" max="16384" width="11.44140625" style="6"/>
  </cols>
  <sheetData>
    <row r="1" spans="1:3">
      <c r="A1" s="6" t="s">
        <v>694</v>
      </c>
      <c r="B1" s="6" t="s">
        <v>695</v>
      </c>
    </row>
    <row r="3" spans="1:3">
      <c r="A3" s="6" t="s">
        <v>700</v>
      </c>
      <c r="B3" s="6">
        <v>5.3</v>
      </c>
      <c r="C3" s="6">
        <v>10</v>
      </c>
    </row>
    <row r="4" spans="1:3">
      <c r="A4" s="6" t="s">
        <v>701</v>
      </c>
      <c r="B4" s="6">
        <v>6.7</v>
      </c>
      <c r="C4" s="6">
        <v>10</v>
      </c>
    </row>
    <row r="5" spans="1:3">
      <c r="A5" s="6" t="s">
        <v>702</v>
      </c>
      <c r="B5" s="6">
        <v>7.4</v>
      </c>
      <c r="C5" s="6">
        <v>10</v>
      </c>
    </row>
    <row r="6" spans="1:3">
      <c r="A6" s="6" t="s">
        <v>703</v>
      </c>
      <c r="B6" s="6">
        <v>8</v>
      </c>
      <c r="C6" s="6">
        <v>10</v>
      </c>
    </row>
    <row r="7" spans="1:3">
      <c r="A7" s="6" t="s">
        <v>704</v>
      </c>
      <c r="B7" s="6">
        <v>8.6999999999999993</v>
      </c>
      <c r="C7" s="6">
        <v>10</v>
      </c>
    </row>
    <row r="8" spans="1:3">
      <c r="A8" s="6" t="s">
        <v>705</v>
      </c>
      <c r="B8" s="6">
        <v>9.4</v>
      </c>
      <c r="C8" s="6">
        <v>10</v>
      </c>
    </row>
    <row r="9" spans="1:3">
      <c r="A9" s="6" t="s">
        <v>706</v>
      </c>
      <c r="B9" s="6">
        <v>10.199999999999999</v>
      </c>
      <c r="C9" s="6">
        <v>10</v>
      </c>
    </row>
    <row r="10" spans="1:3">
      <c r="A10" s="6" t="s">
        <v>707</v>
      </c>
      <c r="B10" s="6">
        <v>11.3</v>
      </c>
      <c r="C10" s="6">
        <v>10</v>
      </c>
    </row>
    <row r="11" spans="1:3">
      <c r="A11" s="6" t="s">
        <v>708</v>
      </c>
      <c r="B11" s="6">
        <v>13.2</v>
      </c>
      <c r="C11" s="6">
        <v>10</v>
      </c>
    </row>
    <row r="12" spans="1:3">
      <c r="A12" s="6" t="s">
        <v>709</v>
      </c>
      <c r="B12" s="6">
        <v>20</v>
      </c>
      <c r="C12" s="6">
        <v>10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F18E-4F3F-48F7-BE69-DD467E791B4F}">
  <dimension ref="A1:E8"/>
  <sheetViews>
    <sheetView workbookViewId="0">
      <selection activeCell="C3" sqref="C3"/>
    </sheetView>
  </sheetViews>
  <sheetFormatPr baseColWidth="10" defaultColWidth="11.44140625" defaultRowHeight="14.4"/>
  <cols>
    <col min="1" max="1" width="34.109375" style="6" bestFit="1" customWidth="1"/>
    <col min="2" max="2" width="15.44140625" style="6" customWidth="1"/>
    <col min="3" max="16384" width="11.44140625" style="6"/>
  </cols>
  <sheetData>
    <row r="1" spans="1:5">
      <c r="A1" s="7" t="s">
        <v>696</v>
      </c>
      <c r="B1" s="7" t="s">
        <v>697</v>
      </c>
    </row>
    <row r="3" spans="1:5">
      <c r="B3" s="6" t="s">
        <v>792</v>
      </c>
      <c r="C3" s="6" t="s">
        <v>793</v>
      </c>
    </row>
    <row r="4" spans="1:5">
      <c r="A4" s="6" t="s">
        <v>788</v>
      </c>
      <c r="B4" s="153">
        <v>8700</v>
      </c>
      <c r="C4" s="98">
        <v>0.4</v>
      </c>
      <c r="E4" s="153"/>
    </row>
    <row r="5" spans="1:5">
      <c r="A5" s="6" t="s">
        <v>789</v>
      </c>
      <c r="B5" s="153">
        <v>121000</v>
      </c>
      <c r="C5" s="98">
        <v>6.1</v>
      </c>
    </row>
    <row r="6" spans="1:5">
      <c r="A6" s="6" t="s">
        <v>790</v>
      </c>
      <c r="B6" s="153">
        <v>139200</v>
      </c>
      <c r="C6" s="98">
        <v>7.0000000000000009</v>
      </c>
    </row>
    <row r="7" spans="1:5">
      <c r="A7" s="6" t="s">
        <v>791</v>
      </c>
      <c r="B7" s="153">
        <v>384600</v>
      </c>
      <c r="C7" s="98">
        <v>19.3</v>
      </c>
    </row>
    <row r="8" spans="1:5">
      <c r="A8" s="6" t="s">
        <v>710</v>
      </c>
      <c r="B8" s="153">
        <v>398900</v>
      </c>
      <c r="C8" s="98">
        <v>20</v>
      </c>
    </row>
  </sheetData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E100-D0D2-482E-AE30-9D8E66E1EC95}">
  <dimension ref="A1:E32"/>
  <sheetViews>
    <sheetView workbookViewId="0">
      <selection activeCell="C20" sqref="C20"/>
    </sheetView>
  </sheetViews>
  <sheetFormatPr baseColWidth="10" defaultColWidth="11.44140625" defaultRowHeight="14.4"/>
  <cols>
    <col min="1" max="16384" width="11.44140625" style="6"/>
  </cols>
  <sheetData>
    <row r="1" spans="1:5" ht="15" customHeight="1">
      <c r="A1" s="184" t="s">
        <v>698</v>
      </c>
      <c r="B1" s="7" t="s">
        <v>699</v>
      </c>
      <c r="C1" s="7"/>
      <c r="D1" s="7"/>
      <c r="E1" s="7"/>
    </row>
    <row r="2" spans="1:5" ht="15" customHeight="1">
      <c r="A2" s="184"/>
      <c r="B2" s="7"/>
      <c r="C2" s="7"/>
      <c r="D2" s="7"/>
      <c r="E2" s="7"/>
    </row>
    <row r="3" spans="1:5" ht="15" customHeight="1">
      <c r="A3" s="184"/>
      <c r="B3" s="7"/>
      <c r="C3" s="7"/>
      <c r="D3" s="7"/>
      <c r="E3" s="7"/>
    </row>
    <row r="4" spans="1:5" ht="43.2">
      <c r="A4" s="211" t="s">
        <v>7</v>
      </c>
      <c r="B4" s="211" t="s">
        <v>712</v>
      </c>
      <c r="C4" s="211" t="s">
        <v>713</v>
      </c>
      <c r="D4" s="211" t="s">
        <v>711</v>
      </c>
      <c r="E4" s="211" t="s">
        <v>794</v>
      </c>
    </row>
    <row r="5" spans="1:5">
      <c r="A5" s="210">
        <v>1997</v>
      </c>
      <c r="B5" s="212">
        <v>3.1</v>
      </c>
      <c r="C5" s="212"/>
      <c r="D5" s="212">
        <v>2.1999999999999997</v>
      </c>
      <c r="E5" s="212"/>
    </row>
    <row r="6" spans="1:5">
      <c r="A6" s="210">
        <v>1998</v>
      </c>
      <c r="B6" s="212">
        <v>3.5999999999999996</v>
      </c>
      <c r="C6" s="212"/>
      <c r="D6" s="212">
        <v>2.5</v>
      </c>
      <c r="E6" s="212"/>
    </row>
    <row r="7" spans="1:5">
      <c r="A7" s="210">
        <v>1999</v>
      </c>
      <c r="B7" s="212">
        <v>3</v>
      </c>
      <c r="C7" s="212"/>
      <c r="D7" s="212">
        <v>2.1</v>
      </c>
      <c r="E7" s="212"/>
    </row>
    <row r="8" spans="1:5">
      <c r="A8" s="210">
        <v>2000</v>
      </c>
      <c r="B8" s="212">
        <v>3.5999999999999996</v>
      </c>
      <c r="C8" s="212"/>
      <c r="D8" s="212">
        <v>2.4</v>
      </c>
      <c r="E8" s="212"/>
    </row>
    <row r="9" spans="1:5">
      <c r="A9" s="210">
        <v>2001</v>
      </c>
      <c r="B9" s="212">
        <v>4.2</v>
      </c>
      <c r="C9" s="212"/>
      <c r="D9" s="212">
        <v>2.9000000000000004</v>
      </c>
      <c r="E9" s="212"/>
    </row>
    <row r="10" spans="1:5">
      <c r="A10" s="210">
        <v>2002</v>
      </c>
      <c r="B10" s="212">
        <v>5.2</v>
      </c>
      <c r="C10" s="212"/>
      <c r="D10" s="212">
        <v>3.5999999999999996</v>
      </c>
      <c r="E10" s="212"/>
    </row>
    <row r="11" spans="1:5">
      <c r="A11" s="210">
        <v>2003</v>
      </c>
      <c r="B11" s="212">
        <v>5.0999999999999996</v>
      </c>
      <c r="C11" s="212"/>
      <c r="D11" s="212">
        <v>3.5999999999999996</v>
      </c>
      <c r="E11" s="212"/>
    </row>
    <row r="12" spans="1:5">
      <c r="A12" s="210">
        <v>2004</v>
      </c>
      <c r="B12" s="212">
        <v>5.2</v>
      </c>
      <c r="C12" s="212"/>
      <c r="D12" s="212">
        <v>3.6999999999999997</v>
      </c>
      <c r="E12" s="212"/>
    </row>
    <row r="13" spans="1:5">
      <c r="A13" s="210">
        <v>2005</v>
      </c>
      <c r="B13" s="212">
        <v>5.5</v>
      </c>
      <c r="C13" s="212"/>
      <c r="D13" s="212">
        <v>3.9</v>
      </c>
      <c r="E13" s="212"/>
    </row>
    <row r="14" spans="1:5">
      <c r="A14" s="210">
        <v>2006</v>
      </c>
      <c r="B14" s="212">
        <v>6</v>
      </c>
      <c r="C14" s="212"/>
      <c r="D14" s="212">
        <v>4.2</v>
      </c>
      <c r="E14" s="212"/>
    </row>
    <row r="15" spans="1:5">
      <c r="A15" s="210">
        <v>2007</v>
      </c>
      <c r="B15" s="212">
        <v>6.9</v>
      </c>
      <c r="C15" s="212"/>
      <c r="D15" s="212">
        <v>5</v>
      </c>
      <c r="E15" s="212"/>
    </row>
    <row r="16" spans="1:5">
      <c r="A16" s="210">
        <v>2008</v>
      </c>
      <c r="B16" s="212">
        <v>8.4</v>
      </c>
      <c r="C16" s="212">
        <v>5.3</v>
      </c>
      <c r="D16" s="212">
        <v>5.8999999999999995</v>
      </c>
      <c r="E16" s="212">
        <v>4.2</v>
      </c>
    </row>
    <row r="17" spans="1:5">
      <c r="A17" s="210">
        <v>2009</v>
      </c>
      <c r="B17" s="212">
        <v>8.9</v>
      </c>
      <c r="C17" s="212">
        <v>5.7</v>
      </c>
      <c r="D17" s="212">
        <v>6.1</v>
      </c>
      <c r="E17" s="212">
        <v>4.5</v>
      </c>
    </row>
    <row r="18" spans="1:5">
      <c r="A18" s="210">
        <v>2010</v>
      </c>
      <c r="B18" s="212">
        <v>8.9</v>
      </c>
      <c r="C18" s="212">
        <v>5.8000000000000007</v>
      </c>
      <c r="D18" s="212">
        <v>6.2</v>
      </c>
      <c r="E18" s="212">
        <v>4.5</v>
      </c>
    </row>
    <row r="19" spans="1:5">
      <c r="A19" s="210">
        <v>2011</v>
      </c>
      <c r="B19" s="212">
        <v>9.1</v>
      </c>
      <c r="C19" s="212">
        <v>5.8999999999999995</v>
      </c>
      <c r="D19" s="212">
        <v>6.4</v>
      </c>
      <c r="E19" s="212">
        <v>4.5999999999999996</v>
      </c>
    </row>
    <row r="20" spans="1:5">
      <c r="A20" s="210">
        <v>2012</v>
      </c>
      <c r="B20" s="212">
        <v>9.4</v>
      </c>
      <c r="C20" s="212">
        <v>6.5</v>
      </c>
      <c r="D20" s="212">
        <v>6.8000000000000007</v>
      </c>
      <c r="E20" s="212">
        <v>5.2</v>
      </c>
    </row>
    <row r="21" spans="1:5">
      <c r="A21" s="210">
        <v>2013</v>
      </c>
      <c r="B21" s="212">
        <v>9.3000000000000007</v>
      </c>
      <c r="C21" s="212">
        <v>6.4</v>
      </c>
      <c r="D21" s="212">
        <v>6.8000000000000007</v>
      </c>
      <c r="E21" s="212">
        <v>5.0999999999999996</v>
      </c>
    </row>
    <row r="22" spans="1:5">
      <c r="A22" s="210">
        <v>2014</v>
      </c>
      <c r="B22" s="212">
        <v>9.6</v>
      </c>
      <c r="C22" s="212">
        <v>6.9</v>
      </c>
      <c r="D22" s="212">
        <v>7.1</v>
      </c>
      <c r="E22" s="212">
        <v>5.5</v>
      </c>
    </row>
    <row r="23" spans="1:5">
      <c r="A23" s="210">
        <v>2015</v>
      </c>
      <c r="B23" s="212">
        <v>10.199999999999999</v>
      </c>
      <c r="C23" s="212">
        <v>7.3999999999999995</v>
      </c>
      <c r="D23" s="212">
        <v>7.8</v>
      </c>
      <c r="E23" s="212">
        <v>5.7</v>
      </c>
    </row>
    <row r="24" spans="1:5">
      <c r="A24" s="210">
        <v>2016</v>
      </c>
      <c r="B24" s="212">
        <v>10.5</v>
      </c>
      <c r="C24" s="212">
        <v>7.1999999999999993</v>
      </c>
      <c r="D24" s="212">
        <v>7.7</v>
      </c>
      <c r="E24" s="212">
        <v>5.6000000000000005</v>
      </c>
    </row>
    <row r="25" spans="1:5">
      <c r="A25" s="210">
        <v>2017</v>
      </c>
      <c r="B25" s="212">
        <v>10.6</v>
      </c>
      <c r="C25" s="212">
        <v>7.3999999999999995</v>
      </c>
      <c r="D25" s="212">
        <v>7.7</v>
      </c>
      <c r="E25" s="212">
        <v>5.8000000000000007</v>
      </c>
    </row>
    <row r="26" spans="1:5">
      <c r="A26" s="210">
        <v>2018</v>
      </c>
      <c r="B26" s="212">
        <v>10.8</v>
      </c>
      <c r="C26" s="212">
        <v>7.3999999999999995</v>
      </c>
      <c r="D26" s="212">
        <v>7.7</v>
      </c>
      <c r="E26" s="212">
        <v>5.7</v>
      </c>
    </row>
    <row r="27" spans="1:5">
      <c r="A27" s="210">
        <v>2019</v>
      </c>
      <c r="B27" s="212">
        <v>11.1</v>
      </c>
      <c r="C27" s="212">
        <v>7.6</v>
      </c>
      <c r="D27" s="212">
        <v>7.8</v>
      </c>
      <c r="E27" s="212">
        <v>5.8000000000000007</v>
      </c>
    </row>
    <row r="28" spans="1:5">
      <c r="A28" s="210">
        <v>2020</v>
      </c>
      <c r="B28" s="212">
        <v>11.4</v>
      </c>
      <c r="C28" s="212">
        <v>7.6</v>
      </c>
      <c r="D28" s="212">
        <v>7.8</v>
      </c>
      <c r="E28" s="212">
        <v>5.7</v>
      </c>
    </row>
    <row r="29" spans="1:5">
      <c r="A29" s="210">
        <v>2021</v>
      </c>
      <c r="B29" s="212">
        <v>12</v>
      </c>
      <c r="C29" s="212">
        <v>7.8</v>
      </c>
      <c r="D29" s="212">
        <v>7.9</v>
      </c>
      <c r="E29" s="212">
        <v>5.8000000000000007</v>
      </c>
    </row>
    <row r="30" spans="1:5">
      <c r="A30" s="210">
        <v>2022</v>
      </c>
      <c r="B30" s="212">
        <v>11.799999999999999</v>
      </c>
      <c r="C30" s="212">
        <v>8.6999999999999993</v>
      </c>
      <c r="D30" s="212">
        <v>7.5</v>
      </c>
      <c r="E30" s="212">
        <v>6.1</v>
      </c>
    </row>
    <row r="31" spans="1:5">
      <c r="A31" s="210">
        <v>2023</v>
      </c>
      <c r="B31" s="212">
        <v>12.1</v>
      </c>
      <c r="C31" s="212"/>
      <c r="D31" s="212">
        <v>7.3999999999999995</v>
      </c>
      <c r="E31" s="212"/>
    </row>
    <row r="32" spans="1:5">
      <c r="B32" s="50"/>
      <c r="C32" s="50"/>
      <c r="D32" s="50"/>
      <c r="E32" s="5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562C-55C5-4D06-956A-5D6DB2FBC50B}">
  <dimension ref="A1:F32"/>
  <sheetViews>
    <sheetView workbookViewId="0">
      <selection activeCell="F5" sqref="F5"/>
    </sheetView>
  </sheetViews>
  <sheetFormatPr baseColWidth="10" defaultRowHeight="14.4"/>
  <sheetData>
    <row r="1" spans="1:6">
      <c r="A1" s="7" t="s">
        <v>34</v>
      </c>
      <c r="B1" s="7" t="s">
        <v>69</v>
      </c>
    </row>
    <row r="3" spans="1:6" ht="15.6">
      <c r="A3" s="11"/>
      <c r="B3" s="12"/>
      <c r="C3" s="12"/>
      <c r="D3" s="12"/>
      <c r="E3" s="12"/>
      <c r="F3" s="12"/>
    </row>
    <row r="4" spans="1:6">
      <c r="A4" s="13"/>
      <c r="B4" s="12"/>
      <c r="C4" s="12"/>
      <c r="D4" s="12"/>
      <c r="E4" s="12"/>
      <c r="F4" s="12"/>
    </row>
    <row r="5" spans="1:6">
      <c r="A5" s="4"/>
      <c r="B5" s="4" t="s">
        <v>8</v>
      </c>
      <c r="C5" s="4" t="s">
        <v>9</v>
      </c>
      <c r="D5" s="4" t="s">
        <v>10</v>
      </c>
      <c r="E5" s="14"/>
      <c r="F5" s="14"/>
    </row>
    <row r="6" spans="1:6">
      <c r="A6" s="4">
        <v>2000</v>
      </c>
      <c r="B6" s="4">
        <v>100</v>
      </c>
      <c r="C6" s="4">
        <v>100</v>
      </c>
      <c r="D6" s="16">
        <v>100</v>
      </c>
      <c r="E6" s="16"/>
      <c r="F6" s="16"/>
    </row>
    <row r="7" spans="1:6">
      <c r="A7" s="4">
        <v>2001</v>
      </c>
      <c r="B7" s="4">
        <v>99.9</v>
      </c>
      <c r="C7" s="4">
        <v>99.8</v>
      </c>
      <c r="D7" s="4">
        <v>100</v>
      </c>
      <c r="E7" s="16"/>
      <c r="F7" s="4"/>
    </row>
    <row r="8" spans="1:6">
      <c r="A8" s="4">
        <v>2002</v>
      </c>
      <c r="B8" s="4">
        <v>98.2</v>
      </c>
      <c r="C8" s="4">
        <v>98.4</v>
      </c>
      <c r="D8" s="4">
        <v>98.5</v>
      </c>
      <c r="E8" s="16"/>
      <c r="F8" s="16"/>
    </row>
    <row r="9" spans="1:6">
      <c r="A9" s="4">
        <v>2003</v>
      </c>
      <c r="B9" s="4">
        <v>97.5</v>
      </c>
      <c r="C9" s="4">
        <v>97.9</v>
      </c>
      <c r="D9" s="4">
        <v>97.7</v>
      </c>
      <c r="E9" s="16"/>
      <c r="F9" s="16"/>
    </row>
    <row r="10" spans="1:6">
      <c r="A10" s="4">
        <v>2004</v>
      </c>
      <c r="B10" s="4">
        <v>102.1</v>
      </c>
      <c r="C10" s="4">
        <v>102.1</v>
      </c>
      <c r="D10" s="4">
        <v>102.3</v>
      </c>
      <c r="E10" s="16"/>
      <c r="F10" s="16"/>
    </row>
    <row r="11" spans="1:6">
      <c r="A11" s="4">
        <v>2005</v>
      </c>
      <c r="B11" s="4">
        <v>106.2</v>
      </c>
      <c r="C11" s="4">
        <v>105.8</v>
      </c>
      <c r="D11" s="4">
        <v>105.4</v>
      </c>
      <c r="E11" s="16"/>
      <c r="F11" s="16"/>
    </row>
    <row r="12" spans="1:6">
      <c r="A12" s="4">
        <v>2006</v>
      </c>
      <c r="B12" s="4">
        <v>112.6</v>
      </c>
      <c r="C12" s="4">
        <v>111.8</v>
      </c>
      <c r="D12" s="4">
        <v>111.5</v>
      </c>
      <c r="E12" s="16"/>
      <c r="F12" s="16"/>
    </row>
    <row r="13" spans="1:6">
      <c r="A13" s="4">
        <v>2007</v>
      </c>
      <c r="B13" s="4">
        <v>111.4</v>
      </c>
      <c r="C13" s="4">
        <v>113.2</v>
      </c>
      <c r="D13" s="4">
        <v>110</v>
      </c>
      <c r="E13" s="16"/>
      <c r="F13" s="16"/>
    </row>
    <row r="14" spans="1:6">
      <c r="A14" s="4">
        <v>2008</v>
      </c>
      <c r="B14" s="4">
        <v>110.9</v>
      </c>
      <c r="C14" s="4">
        <v>111.5</v>
      </c>
      <c r="D14" s="4">
        <v>108.7</v>
      </c>
      <c r="E14" s="16"/>
      <c r="F14" s="16"/>
    </row>
    <row r="15" spans="1:6">
      <c r="A15" s="4">
        <v>2009</v>
      </c>
      <c r="B15" s="4">
        <v>107.2</v>
      </c>
      <c r="C15" s="4">
        <v>107.1</v>
      </c>
      <c r="D15" s="4">
        <v>105.1</v>
      </c>
      <c r="E15" s="16"/>
      <c r="F15" s="16"/>
    </row>
    <row r="16" spans="1:6">
      <c r="A16" s="4">
        <v>2010</v>
      </c>
      <c r="B16" s="4">
        <v>112</v>
      </c>
      <c r="C16" s="4">
        <v>110.7</v>
      </c>
      <c r="D16" s="4">
        <v>110.2</v>
      </c>
      <c r="E16" s="16"/>
      <c r="F16" s="16"/>
    </row>
    <row r="17" spans="1:6">
      <c r="A17" s="4">
        <v>2011</v>
      </c>
      <c r="B17" s="4">
        <v>113.8</v>
      </c>
      <c r="C17" s="4">
        <v>115.2</v>
      </c>
      <c r="D17" s="4">
        <v>110.4</v>
      </c>
      <c r="E17" s="16"/>
      <c r="F17" s="16"/>
    </row>
    <row r="18" spans="1:6">
      <c r="A18" s="4">
        <v>2012</v>
      </c>
      <c r="B18" s="4">
        <v>111.4</v>
      </c>
      <c r="C18" s="4">
        <v>114.4</v>
      </c>
      <c r="D18" s="4">
        <v>107.1</v>
      </c>
      <c r="E18" s="16"/>
      <c r="F18" s="16"/>
    </row>
    <row r="19" spans="1:6">
      <c r="A19" s="4">
        <v>2013</v>
      </c>
      <c r="B19" s="4">
        <v>112.5</v>
      </c>
      <c r="C19" s="4">
        <v>111.9</v>
      </c>
      <c r="D19" s="4">
        <v>108.8</v>
      </c>
      <c r="E19" s="16"/>
      <c r="F19" s="16"/>
    </row>
    <row r="20" spans="1:6">
      <c r="A20" s="4">
        <v>2014</v>
      </c>
      <c r="B20" s="4">
        <v>111</v>
      </c>
      <c r="C20" s="4">
        <v>110.7</v>
      </c>
      <c r="D20" s="4">
        <v>107.5</v>
      </c>
      <c r="E20" s="4"/>
      <c r="F20" s="4"/>
    </row>
    <row r="21" spans="1:6">
      <c r="A21" s="4">
        <v>2015</v>
      </c>
      <c r="B21" s="4">
        <v>108.4</v>
      </c>
      <c r="C21" s="4">
        <v>108.3</v>
      </c>
      <c r="D21" s="4">
        <v>107.3</v>
      </c>
      <c r="E21" s="4"/>
      <c r="F21" s="4"/>
    </row>
    <row r="22" spans="1:6">
      <c r="A22" s="4">
        <v>2016</v>
      </c>
      <c r="B22" s="4">
        <v>110.6</v>
      </c>
      <c r="C22" s="4">
        <v>105.5</v>
      </c>
      <c r="D22" s="4">
        <v>109.5</v>
      </c>
      <c r="E22" s="16"/>
      <c r="F22" s="16"/>
    </row>
    <row r="23" spans="1:6">
      <c r="A23" s="4">
        <v>2017</v>
      </c>
      <c r="B23" s="4">
        <v>112.2</v>
      </c>
      <c r="C23" s="16">
        <v>108</v>
      </c>
      <c r="D23" s="4">
        <v>110.8</v>
      </c>
      <c r="E23" s="16"/>
      <c r="F23" s="4"/>
    </row>
    <row r="24" spans="1:6">
      <c r="A24" s="4">
        <v>2018</v>
      </c>
      <c r="B24" s="4">
        <v>113.2</v>
      </c>
      <c r="C24" s="16">
        <v>109.1</v>
      </c>
      <c r="D24" s="16">
        <v>110.9</v>
      </c>
      <c r="E24" s="16"/>
      <c r="F24" s="16"/>
    </row>
    <row r="25" spans="1:6">
      <c r="A25" s="4">
        <v>2019</v>
      </c>
      <c r="B25" s="16">
        <v>110.6</v>
      </c>
      <c r="C25" s="4">
        <v>106.7</v>
      </c>
      <c r="D25" s="16">
        <v>109</v>
      </c>
      <c r="E25" s="4"/>
      <c r="F25" s="4"/>
    </row>
    <row r="26" spans="1:6">
      <c r="A26" s="16">
        <v>2020</v>
      </c>
      <c r="B26" s="4">
        <v>102.3</v>
      </c>
      <c r="C26" s="4">
        <v>100.6</v>
      </c>
      <c r="D26" s="4">
        <v>102</v>
      </c>
      <c r="E26" s="4"/>
      <c r="F26" s="4"/>
    </row>
    <row r="27" spans="1:6" ht="15.6">
      <c r="A27" s="4">
        <v>2021</v>
      </c>
      <c r="B27" s="16">
        <v>109.7</v>
      </c>
      <c r="C27" s="16">
        <v>105.5</v>
      </c>
      <c r="D27" s="4">
        <v>107.5</v>
      </c>
      <c r="E27" s="39"/>
      <c r="F27" s="15"/>
    </row>
    <row r="28" spans="1:6" ht="15.6">
      <c r="A28" s="4">
        <v>2022</v>
      </c>
      <c r="B28" s="16">
        <v>123.6</v>
      </c>
      <c r="C28" s="16">
        <v>116.4</v>
      </c>
      <c r="D28" s="16">
        <v>121.2</v>
      </c>
      <c r="E28" s="39"/>
      <c r="F28" s="15"/>
    </row>
    <row r="29" spans="1:6" ht="15.6">
      <c r="A29" s="4">
        <v>2023</v>
      </c>
      <c r="B29" s="16">
        <v>116.3</v>
      </c>
      <c r="C29" s="16">
        <v>109.7</v>
      </c>
      <c r="D29" s="16">
        <v>114.6</v>
      </c>
      <c r="E29" s="39"/>
      <c r="F29" s="15"/>
    </row>
    <row r="30" spans="1:6">
      <c r="A30" s="36"/>
    </row>
    <row r="31" spans="1:6">
      <c r="A31" s="36"/>
    </row>
    <row r="32" spans="1:6">
      <c r="A32" s="3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3A6B-F95B-4D8D-AD64-A07FA9F5FADA}">
  <dimension ref="A1:C29"/>
  <sheetViews>
    <sheetView workbookViewId="0">
      <selection activeCell="G9" sqref="G9"/>
    </sheetView>
  </sheetViews>
  <sheetFormatPr baseColWidth="10" defaultRowHeight="14.4"/>
  <sheetData>
    <row r="1" spans="1:3">
      <c r="A1" s="7" t="s">
        <v>5</v>
      </c>
      <c r="B1" s="7" t="s">
        <v>70</v>
      </c>
    </row>
    <row r="4" spans="1:3">
      <c r="A4" s="41"/>
      <c r="B4" s="41" t="s">
        <v>73</v>
      </c>
      <c r="C4" s="41" t="s">
        <v>74</v>
      </c>
    </row>
    <row r="5" spans="1:3">
      <c r="A5" s="41">
        <v>2000</v>
      </c>
      <c r="B5" s="41">
        <v>108</v>
      </c>
      <c r="C5" s="40">
        <v>101</v>
      </c>
    </row>
    <row r="6" spans="1:3">
      <c r="A6" s="41">
        <v>2001</v>
      </c>
      <c r="B6" s="41">
        <v>112</v>
      </c>
      <c r="C6" s="41">
        <v>100</v>
      </c>
    </row>
    <row r="7" spans="1:3">
      <c r="A7" s="41">
        <v>2002</v>
      </c>
      <c r="B7" s="41">
        <v>124</v>
      </c>
      <c r="C7" s="41">
        <v>104</v>
      </c>
    </row>
    <row r="8" spans="1:3">
      <c r="A8" s="41">
        <v>2003</v>
      </c>
      <c r="B8" s="41">
        <v>118</v>
      </c>
      <c r="C8" s="41">
        <v>104</v>
      </c>
    </row>
    <row r="9" spans="1:3">
      <c r="A9" s="41">
        <v>2004</v>
      </c>
      <c r="B9" s="41">
        <v>117</v>
      </c>
      <c r="C9" s="41">
        <v>108</v>
      </c>
    </row>
    <row r="10" spans="1:3">
      <c r="A10" s="41">
        <v>2005</v>
      </c>
      <c r="B10" s="41">
        <v>127</v>
      </c>
      <c r="C10" s="41">
        <v>112</v>
      </c>
    </row>
    <row r="11" spans="1:3">
      <c r="A11" s="41">
        <v>2006</v>
      </c>
      <c r="B11" s="41">
        <v>131</v>
      </c>
      <c r="C11" s="41">
        <v>116</v>
      </c>
    </row>
    <row r="12" spans="1:3">
      <c r="A12" s="41">
        <v>2007</v>
      </c>
      <c r="B12" s="41">
        <v>137</v>
      </c>
      <c r="C12" s="41">
        <v>121</v>
      </c>
    </row>
    <row r="13" spans="1:3">
      <c r="A13" s="41">
        <v>2008</v>
      </c>
      <c r="B13" s="41">
        <v>139</v>
      </c>
      <c r="C13" s="41">
        <v>123</v>
      </c>
    </row>
    <row r="14" spans="1:3">
      <c r="A14" s="41">
        <v>2009</v>
      </c>
      <c r="B14" s="41">
        <v>140</v>
      </c>
      <c r="C14" s="41">
        <v>126</v>
      </c>
    </row>
    <row r="15" spans="1:3">
      <c r="A15" s="41">
        <v>2010</v>
      </c>
      <c r="B15" s="41">
        <v>149</v>
      </c>
      <c r="C15" s="41">
        <v>128</v>
      </c>
    </row>
    <row r="16" spans="1:3">
      <c r="A16" s="41">
        <v>2011</v>
      </c>
      <c r="B16" s="41">
        <v>154</v>
      </c>
      <c r="C16" s="41">
        <v>131</v>
      </c>
    </row>
    <row r="17" spans="1:3">
      <c r="A17" s="41">
        <v>2012</v>
      </c>
      <c r="B17" s="41">
        <v>156</v>
      </c>
      <c r="C17" s="41">
        <v>129</v>
      </c>
    </row>
    <row r="18" spans="1:3">
      <c r="A18" s="41">
        <v>2013</v>
      </c>
      <c r="B18" s="41">
        <v>154</v>
      </c>
      <c r="C18" s="41">
        <v>133</v>
      </c>
    </row>
    <row r="19" spans="1:3">
      <c r="A19" s="41">
        <v>2014</v>
      </c>
      <c r="B19" s="41">
        <v>148</v>
      </c>
      <c r="C19" s="41">
        <v>135</v>
      </c>
    </row>
    <row r="20" spans="1:3">
      <c r="A20" s="41">
        <v>2015</v>
      </c>
      <c r="B20" s="41">
        <v>136</v>
      </c>
      <c r="C20" s="41">
        <v>133</v>
      </c>
    </row>
    <row r="21" spans="1:3">
      <c r="A21" s="41">
        <v>2016</v>
      </c>
      <c r="B21" s="41">
        <v>131</v>
      </c>
      <c r="C21" s="41">
        <v>131</v>
      </c>
    </row>
    <row r="22" spans="1:3">
      <c r="A22" s="41">
        <v>2017</v>
      </c>
      <c r="B22" s="41">
        <v>139</v>
      </c>
      <c r="C22" s="41">
        <v>138</v>
      </c>
    </row>
    <row r="23" spans="1:3">
      <c r="A23" s="41">
        <v>2018</v>
      </c>
      <c r="B23" s="41">
        <v>139</v>
      </c>
      <c r="C23" s="41">
        <v>139</v>
      </c>
    </row>
    <row r="24" spans="1:3">
      <c r="A24" s="41">
        <v>2019</v>
      </c>
      <c r="B24" s="41">
        <v>136</v>
      </c>
      <c r="C24" s="41">
        <v>139</v>
      </c>
    </row>
    <row r="25" spans="1:3">
      <c r="A25" s="41">
        <v>2020</v>
      </c>
      <c r="B25" s="41">
        <v>126</v>
      </c>
      <c r="C25" s="41">
        <v>140</v>
      </c>
    </row>
    <row r="26" spans="1:3">
      <c r="A26" s="41">
        <v>2021</v>
      </c>
      <c r="B26" s="41">
        <v>131</v>
      </c>
      <c r="C26" s="41">
        <v>139</v>
      </c>
    </row>
    <row r="27" spans="1:3">
      <c r="A27" s="41">
        <v>2022</v>
      </c>
      <c r="B27" s="41">
        <v>133</v>
      </c>
      <c r="C27" s="41">
        <v>138</v>
      </c>
    </row>
    <row r="28" spans="1:3">
      <c r="A28" s="41">
        <v>2023</v>
      </c>
      <c r="B28" s="41">
        <v>118</v>
      </c>
      <c r="C28" s="41">
        <v>136</v>
      </c>
    </row>
    <row r="29" spans="1:3">
      <c r="A29" s="193"/>
      <c r="B29" s="193"/>
      <c r="C29" s="19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76D4-E3AC-4166-BB8A-B047DE360AB3}">
  <dimension ref="A1:M125"/>
  <sheetViews>
    <sheetView zoomScale="120" zoomScaleNormal="120" workbookViewId="0">
      <selection activeCell="F27" sqref="F27"/>
    </sheetView>
  </sheetViews>
  <sheetFormatPr baseColWidth="10" defaultRowHeight="14.4"/>
  <cols>
    <col min="2" max="2" width="54.6640625" customWidth="1"/>
    <col min="3" max="3" width="21.88671875" customWidth="1"/>
    <col min="4" max="4" width="28.88671875" customWidth="1"/>
    <col min="5" max="5" width="29.109375" customWidth="1"/>
    <col min="6" max="6" width="36.88671875" customWidth="1"/>
    <col min="7" max="7" width="41.5546875" customWidth="1"/>
    <col min="8" max="8" width="27.33203125" customWidth="1"/>
    <col min="9" max="9" width="38.5546875" customWidth="1"/>
    <col min="10" max="10" width="42.5546875" customWidth="1"/>
    <col min="11" max="11" width="37.88671875" customWidth="1"/>
  </cols>
  <sheetData>
    <row r="1" spans="1:13">
      <c r="A1" s="7" t="s">
        <v>6</v>
      </c>
      <c r="B1" s="7" t="s">
        <v>71</v>
      </c>
    </row>
    <row r="2" spans="1:13">
      <c r="A2" s="31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>
      <c r="A3" s="36" t="s">
        <v>7</v>
      </c>
      <c r="B3" s="36" t="s">
        <v>38</v>
      </c>
      <c r="C3" s="36" t="s">
        <v>36</v>
      </c>
      <c r="D3" s="36" t="s">
        <v>37</v>
      </c>
      <c r="E3" s="8"/>
      <c r="F3" s="8"/>
      <c r="G3" s="17"/>
      <c r="H3" s="17"/>
      <c r="I3" s="24"/>
      <c r="J3" s="24"/>
      <c r="K3" s="24"/>
      <c r="L3" s="8"/>
    </row>
    <row r="4" spans="1:13">
      <c r="A4" s="36">
        <v>1970</v>
      </c>
      <c r="B4" s="36">
        <v>42.8</v>
      </c>
      <c r="C4" s="36">
        <v>42</v>
      </c>
      <c r="D4" s="36">
        <v>45</v>
      </c>
      <c r="E4" s="23"/>
      <c r="F4" s="8"/>
      <c r="G4" s="8"/>
      <c r="H4" s="8"/>
      <c r="I4" s="26"/>
      <c r="J4" s="17"/>
      <c r="K4" s="25"/>
      <c r="L4" s="8"/>
      <c r="M4" s="5"/>
    </row>
    <row r="5" spans="1:13">
      <c r="A5" s="36">
        <v>1971</v>
      </c>
      <c r="B5" s="36">
        <v>45.1</v>
      </c>
      <c r="C5" s="36">
        <v>45</v>
      </c>
      <c r="D5" s="36">
        <v>49</v>
      </c>
      <c r="E5" s="28"/>
      <c r="F5" s="33"/>
      <c r="G5" s="33"/>
      <c r="H5" s="8"/>
      <c r="I5" s="26"/>
      <c r="J5" s="17"/>
      <c r="K5" s="26"/>
      <c r="L5" s="8"/>
    </row>
    <row r="6" spans="1:13">
      <c r="A6" s="36">
        <v>1972</v>
      </c>
      <c r="B6" s="36">
        <v>47.2</v>
      </c>
      <c r="C6" s="36">
        <v>48</v>
      </c>
      <c r="D6" s="36">
        <v>51</v>
      </c>
      <c r="E6" s="28"/>
      <c r="F6" s="33"/>
      <c r="G6" s="33"/>
      <c r="H6" s="8"/>
      <c r="I6" s="26"/>
      <c r="J6" s="17"/>
      <c r="K6" s="26"/>
      <c r="L6" s="8"/>
    </row>
    <row r="7" spans="1:13">
      <c r="A7" s="36">
        <v>1973</v>
      </c>
      <c r="B7" s="36">
        <v>48.6</v>
      </c>
      <c r="C7" s="36">
        <v>50</v>
      </c>
      <c r="D7" s="36">
        <v>52</v>
      </c>
      <c r="E7" s="28"/>
      <c r="F7" s="33"/>
      <c r="G7" s="33"/>
      <c r="H7" s="8"/>
      <c r="I7" s="26"/>
      <c r="J7" s="17"/>
      <c r="K7" s="26"/>
      <c r="L7" s="8"/>
    </row>
    <row r="8" spans="1:13">
      <c r="A8" s="36">
        <v>1974</v>
      </c>
      <c r="B8" s="36">
        <v>51.2</v>
      </c>
      <c r="C8" s="36">
        <v>52</v>
      </c>
      <c r="D8" s="36">
        <v>54</v>
      </c>
      <c r="E8" s="28"/>
      <c r="F8" s="33"/>
      <c r="G8" s="33"/>
      <c r="H8" s="8"/>
      <c r="I8" s="26"/>
      <c r="J8" s="17"/>
      <c r="K8" s="26"/>
      <c r="L8" s="8"/>
    </row>
    <row r="9" spans="1:13">
      <c r="A9" s="36">
        <v>1975</v>
      </c>
      <c r="B9" s="36">
        <v>52.4</v>
      </c>
      <c r="C9" s="36">
        <v>55</v>
      </c>
      <c r="D9" s="36">
        <v>57</v>
      </c>
      <c r="E9" s="28"/>
      <c r="F9" s="33"/>
      <c r="G9" s="33"/>
      <c r="H9" s="8"/>
      <c r="I9" s="26"/>
      <c r="J9" s="17"/>
      <c r="K9" s="26"/>
      <c r="L9" s="8"/>
    </row>
    <row r="10" spans="1:13">
      <c r="A10" s="36">
        <v>1976</v>
      </c>
      <c r="B10" s="36">
        <v>54.4</v>
      </c>
      <c r="C10" s="36">
        <v>58</v>
      </c>
      <c r="D10" s="36">
        <v>61</v>
      </c>
      <c r="E10" s="28"/>
      <c r="F10" s="33"/>
      <c r="G10" s="33"/>
      <c r="H10" s="8"/>
      <c r="I10" s="26"/>
      <c r="J10" s="17"/>
      <c r="K10" s="26"/>
      <c r="L10" s="8"/>
    </row>
    <row r="11" spans="1:13">
      <c r="A11" s="36">
        <v>1977</v>
      </c>
      <c r="B11" s="36">
        <v>55.6</v>
      </c>
      <c r="C11" s="36">
        <v>60</v>
      </c>
      <c r="D11" s="36">
        <v>62</v>
      </c>
      <c r="E11" s="28"/>
      <c r="F11" s="33"/>
      <c r="G11" s="33"/>
      <c r="H11" s="8"/>
      <c r="I11" s="26"/>
      <c r="J11" s="17"/>
      <c r="K11" s="26"/>
      <c r="L11" s="8"/>
    </row>
    <row r="12" spans="1:13">
      <c r="A12" s="36">
        <v>1978</v>
      </c>
      <c r="B12" s="36">
        <v>56.6</v>
      </c>
      <c r="C12" s="36">
        <v>61</v>
      </c>
      <c r="D12" s="36">
        <v>64</v>
      </c>
      <c r="E12" s="28"/>
      <c r="F12" s="33"/>
      <c r="G12" s="33"/>
      <c r="H12" s="8"/>
      <c r="I12" s="26"/>
      <c r="J12" s="17"/>
      <c r="K12" s="26"/>
      <c r="L12" s="8"/>
    </row>
    <row r="13" spans="1:13">
      <c r="A13" s="36">
        <v>1979</v>
      </c>
      <c r="B13" s="36">
        <v>58.3</v>
      </c>
      <c r="C13" s="36">
        <v>61</v>
      </c>
      <c r="D13" s="36">
        <v>65</v>
      </c>
      <c r="E13" s="28"/>
      <c r="F13" s="33"/>
      <c r="G13" s="33"/>
      <c r="H13" s="8"/>
      <c r="I13" s="26"/>
      <c r="J13" s="17"/>
      <c r="K13" s="26"/>
      <c r="L13" s="8"/>
    </row>
    <row r="14" spans="1:13">
      <c r="A14" s="36">
        <v>1980</v>
      </c>
      <c r="B14" s="36">
        <v>58.6</v>
      </c>
      <c r="C14" s="36">
        <v>60</v>
      </c>
      <c r="D14" s="36">
        <v>65</v>
      </c>
      <c r="E14" s="28"/>
      <c r="F14" s="33"/>
      <c r="G14" s="33"/>
      <c r="H14" s="8"/>
      <c r="I14" s="26"/>
      <c r="J14" s="17"/>
      <c r="K14" s="26"/>
      <c r="L14" s="8"/>
    </row>
    <row r="15" spans="1:13">
      <c r="A15" s="36">
        <v>1981</v>
      </c>
      <c r="B15" s="36">
        <v>59</v>
      </c>
      <c r="C15" s="36">
        <v>59</v>
      </c>
      <c r="D15" s="36">
        <v>65</v>
      </c>
      <c r="E15" s="28"/>
      <c r="F15" s="33"/>
      <c r="G15" s="33"/>
      <c r="H15" s="8"/>
      <c r="I15" s="26"/>
      <c r="J15" s="17"/>
      <c r="K15" s="26"/>
      <c r="L15" s="8"/>
    </row>
    <row r="16" spans="1:13">
      <c r="A16" s="36">
        <v>1982</v>
      </c>
      <c r="B16" s="36">
        <v>59.8</v>
      </c>
      <c r="C16" s="36">
        <v>59</v>
      </c>
      <c r="D16" s="36">
        <v>66</v>
      </c>
      <c r="E16" s="28"/>
      <c r="F16" s="33"/>
      <c r="G16" s="33"/>
      <c r="H16" s="8"/>
      <c r="I16" s="26"/>
      <c r="J16" s="17"/>
      <c r="K16" s="26"/>
      <c r="L16" s="8"/>
    </row>
    <row r="17" spans="1:12">
      <c r="A17" s="36">
        <v>1983</v>
      </c>
      <c r="B17" s="36">
        <v>61.2</v>
      </c>
      <c r="C17" s="36">
        <v>59</v>
      </c>
      <c r="D17" s="36">
        <v>66</v>
      </c>
      <c r="E17" s="28"/>
      <c r="F17" s="33"/>
      <c r="G17" s="33"/>
      <c r="H17" s="8"/>
      <c r="I17" s="26"/>
      <c r="J17" s="17"/>
      <c r="K17" s="26"/>
      <c r="L17" s="8"/>
    </row>
    <row r="18" spans="1:12">
      <c r="A18" s="36">
        <v>1984</v>
      </c>
      <c r="B18" s="36">
        <v>63.7</v>
      </c>
      <c r="C18" s="36">
        <v>61</v>
      </c>
      <c r="D18" s="36">
        <v>68</v>
      </c>
      <c r="E18" s="28"/>
      <c r="F18" s="33"/>
      <c r="G18" s="33"/>
      <c r="H18" s="8"/>
      <c r="I18" s="26"/>
      <c r="J18" s="17"/>
      <c r="K18" s="26"/>
      <c r="L18" s="8"/>
    </row>
    <row r="19" spans="1:12">
      <c r="A19" s="36">
        <v>1985</v>
      </c>
      <c r="B19" s="36">
        <v>65.3</v>
      </c>
      <c r="C19" s="36">
        <v>62</v>
      </c>
      <c r="D19" s="36">
        <v>70</v>
      </c>
      <c r="E19" s="28"/>
      <c r="F19" s="33"/>
      <c r="G19" s="33"/>
      <c r="H19" s="8"/>
      <c r="I19" s="26"/>
      <c r="J19" s="17"/>
      <c r="K19" s="26"/>
      <c r="L19" s="8"/>
    </row>
    <row r="20" spans="1:12">
      <c r="A20" s="36">
        <v>1986</v>
      </c>
      <c r="B20" s="36">
        <v>64.900000000000006</v>
      </c>
      <c r="C20" s="36">
        <v>63</v>
      </c>
      <c r="D20" s="36">
        <v>71</v>
      </c>
      <c r="E20" s="28"/>
      <c r="F20" s="33"/>
      <c r="G20" s="33"/>
      <c r="H20" s="8"/>
      <c r="I20" s="26"/>
      <c r="J20" s="17"/>
      <c r="K20" s="26"/>
      <c r="L20" s="8"/>
    </row>
    <row r="21" spans="1:12">
      <c r="A21" s="36">
        <v>1987</v>
      </c>
      <c r="B21" s="36">
        <v>66.2</v>
      </c>
      <c r="C21" s="36">
        <v>65</v>
      </c>
      <c r="D21" s="36">
        <v>72</v>
      </c>
      <c r="E21" s="28"/>
      <c r="F21" s="33"/>
      <c r="G21" s="33"/>
      <c r="H21" s="8"/>
      <c r="I21" s="26"/>
      <c r="J21" s="17"/>
      <c r="K21" s="26"/>
      <c r="L21" s="8"/>
    </row>
    <row r="22" spans="1:12">
      <c r="A22" s="36">
        <v>1988</v>
      </c>
      <c r="B22" s="36">
        <v>66.400000000000006</v>
      </c>
      <c r="C22" s="36">
        <v>66</v>
      </c>
      <c r="D22" s="36">
        <v>72</v>
      </c>
      <c r="E22" s="28"/>
      <c r="F22" s="33"/>
      <c r="G22" s="33"/>
      <c r="H22" s="8"/>
      <c r="I22" s="26"/>
      <c r="J22" s="17"/>
      <c r="K22" s="26"/>
      <c r="L22" s="8"/>
    </row>
    <row r="23" spans="1:12">
      <c r="A23" s="36">
        <v>1989</v>
      </c>
      <c r="B23" s="36">
        <v>68.2</v>
      </c>
      <c r="C23" s="36">
        <v>66</v>
      </c>
      <c r="D23" s="36">
        <v>73</v>
      </c>
      <c r="E23" s="28"/>
      <c r="F23" s="33"/>
      <c r="G23" s="33"/>
      <c r="H23" s="8"/>
      <c r="I23" s="26"/>
      <c r="J23" s="17"/>
      <c r="K23" s="26"/>
      <c r="L23" s="8"/>
    </row>
    <row r="24" spans="1:12">
      <c r="A24" s="36">
        <v>1990</v>
      </c>
      <c r="B24" s="36">
        <v>69.900000000000006</v>
      </c>
      <c r="C24" s="36">
        <v>66</v>
      </c>
      <c r="D24" s="36">
        <v>75</v>
      </c>
      <c r="E24" s="28"/>
      <c r="F24" s="33"/>
      <c r="G24" s="33"/>
      <c r="H24" s="8"/>
      <c r="I24" s="26"/>
      <c r="J24" s="17"/>
      <c r="K24" s="26"/>
      <c r="L24" s="8"/>
    </row>
    <row r="25" spans="1:12">
      <c r="A25" s="36">
        <v>1991</v>
      </c>
      <c r="B25" s="36">
        <v>72.2</v>
      </c>
      <c r="C25" s="36">
        <v>68</v>
      </c>
      <c r="D25" s="36">
        <v>76</v>
      </c>
      <c r="E25" s="28"/>
      <c r="F25" s="33"/>
      <c r="G25" s="33"/>
      <c r="H25" s="8"/>
      <c r="I25" s="26"/>
      <c r="J25" s="17"/>
      <c r="K25" s="26"/>
      <c r="L25" s="8"/>
    </row>
    <row r="26" spans="1:12">
      <c r="A26" s="36">
        <v>1992</v>
      </c>
      <c r="B26" s="36">
        <v>73.7</v>
      </c>
      <c r="C26" s="36">
        <v>68</v>
      </c>
      <c r="D26" s="36">
        <v>78</v>
      </c>
      <c r="E26" s="28"/>
      <c r="F26" s="33"/>
      <c r="G26" s="33"/>
      <c r="H26" s="8"/>
      <c r="I26" s="26"/>
      <c r="J26" s="17"/>
      <c r="K26" s="26"/>
      <c r="L26" s="8"/>
    </row>
    <row r="27" spans="1:12">
      <c r="A27" s="36">
        <v>1993</v>
      </c>
      <c r="B27" s="36">
        <v>75.099999999999994</v>
      </c>
      <c r="C27" s="36">
        <v>67</v>
      </c>
      <c r="D27" s="36">
        <v>78</v>
      </c>
      <c r="E27" s="28"/>
      <c r="F27" s="33"/>
      <c r="G27" s="33"/>
      <c r="H27" s="8"/>
      <c r="I27" s="26"/>
      <c r="J27" s="17"/>
      <c r="K27" s="26"/>
      <c r="L27" s="8"/>
    </row>
    <row r="28" spans="1:12">
      <c r="A28" s="36">
        <v>1994</v>
      </c>
      <c r="B28" s="36">
        <v>76.7</v>
      </c>
      <c r="C28" s="36">
        <v>69</v>
      </c>
      <c r="D28" s="36">
        <v>80</v>
      </c>
      <c r="E28" s="28"/>
      <c r="F28" s="33"/>
      <c r="G28" s="33"/>
      <c r="H28" s="8"/>
      <c r="I28" s="26"/>
      <c r="J28" s="17"/>
      <c r="K28" s="26"/>
      <c r="L28" s="8"/>
    </row>
    <row r="29" spans="1:12">
      <c r="A29" s="36">
        <v>1995</v>
      </c>
      <c r="B29" s="36">
        <v>78.099999999999994</v>
      </c>
      <c r="C29" s="36">
        <v>70</v>
      </c>
      <c r="D29" s="36">
        <v>80</v>
      </c>
      <c r="E29" s="28"/>
      <c r="F29" s="33"/>
      <c r="G29" s="33"/>
      <c r="H29" s="8"/>
      <c r="I29" s="26"/>
      <c r="J29" s="17"/>
      <c r="K29" s="26"/>
      <c r="L29" s="8"/>
    </row>
    <row r="30" spans="1:12">
      <c r="A30" s="36">
        <v>1996</v>
      </c>
      <c r="B30" s="36">
        <v>79.3</v>
      </c>
      <c r="C30" s="36">
        <v>73</v>
      </c>
      <c r="D30" s="36">
        <v>83</v>
      </c>
      <c r="E30" s="28"/>
      <c r="F30" s="33"/>
      <c r="G30" s="33"/>
      <c r="H30" s="8"/>
      <c r="I30" s="26"/>
      <c r="J30" s="17"/>
      <c r="K30" s="26"/>
      <c r="L30" s="8"/>
    </row>
    <row r="31" spans="1:12">
      <c r="A31" s="36">
        <v>1997</v>
      </c>
      <c r="B31" s="36">
        <v>81.2</v>
      </c>
      <c r="C31" s="36">
        <v>75</v>
      </c>
      <c r="D31" s="36">
        <v>85</v>
      </c>
      <c r="E31" s="28"/>
      <c r="F31" s="33"/>
      <c r="G31" s="33"/>
      <c r="H31" s="8"/>
      <c r="I31" s="26"/>
      <c r="J31" s="17"/>
      <c r="K31" s="26"/>
      <c r="L31" s="8"/>
    </row>
    <row r="32" spans="1:12">
      <c r="A32" s="36">
        <v>1998</v>
      </c>
      <c r="B32" s="36">
        <v>82</v>
      </c>
      <c r="C32" s="36">
        <v>78</v>
      </c>
      <c r="D32" s="36">
        <v>87</v>
      </c>
      <c r="E32" s="28"/>
      <c r="F32" s="33"/>
      <c r="G32" s="33"/>
      <c r="H32" s="8"/>
      <c r="I32" s="26"/>
      <c r="J32" s="17"/>
      <c r="K32" s="26"/>
      <c r="L32" s="8"/>
    </row>
    <row r="33" spans="1:12">
      <c r="A33" s="36">
        <v>1999</v>
      </c>
      <c r="B33" s="36">
        <v>83.3</v>
      </c>
      <c r="C33" s="36">
        <v>80</v>
      </c>
      <c r="D33" s="36">
        <v>89</v>
      </c>
      <c r="E33" s="28"/>
      <c r="F33" s="33"/>
      <c r="G33" s="33"/>
      <c r="H33" s="8"/>
      <c r="I33" s="26"/>
      <c r="J33" s="17"/>
      <c r="K33" s="26"/>
      <c r="L33" s="8"/>
    </row>
    <row r="34" spans="1:12">
      <c r="A34" s="36">
        <v>2000</v>
      </c>
      <c r="B34" s="36">
        <v>86.3</v>
      </c>
      <c r="C34" s="36">
        <v>83</v>
      </c>
      <c r="D34" s="36">
        <v>91</v>
      </c>
      <c r="E34" s="28"/>
      <c r="F34" s="33"/>
      <c r="G34" s="33"/>
      <c r="H34" s="8"/>
      <c r="I34" s="26"/>
      <c r="J34" s="17"/>
      <c r="K34" s="26"/>
      <c r="L34" s="8"/>
    </row>
    <row r="35" spans="1:12">
      <c r="A35" s="36">
        <v>2001</v>
      </c>
      <c r="B35" s="36">
        <v>88.8</v>
      </c>
      <c r="C35" s="36">
        <v>86</v>
      </c>
      <c r="D35" s="36">
        <v>94</v>
      </c>
      <c r="E35" s="28"/>
      <c r="F35" s="33"/>
      <c r="G35" s="33"/>
      <c r="H35" s="8"/>
      <c r="I35" s="26"/>
      <c r="J35" s="17"/>
      <c r="K35" s="26"/>
      <c r="L35" s="8"/>
    </row>
    <row r="36" spans="1:12">
      <c r="A36" s="36">
        <v>2002</v>
      </c>
      <c r="B36" s="36">
        <v>90.4</v>
      </c>
      <c r="C36" s="36">
        <v>90</v>
      </c>
      <c r="D36" s="36">
        <v>96</v>
      </c>
      <c r="E36" s="28"/>
      <c r="F36" s="33"/>
      <c r="G36" s="33"/>
      <c r="H36" s="8"/>
      <c r="I36" s="26"/>
      <c r="J36" s="17"/>
      <c r="K36" s="26"/>
      <c r="L36" s="8"/>
    </row>
    <row r="37" spans="1:12">
      <c r="A37" s="36">
        <v>2003</v>
      </c>
      <c r="B37" s="36">
        <v>93.4</v>
      </c>
      <c r="C37" s="36">
        <v>92</v>
      </c>
      <c r="D37" s="36">
        <v>97</v>
      </c>
      <c r="E37" s="28"/>
      <c r="F37" s="33"/>
      <c r="G37" s="33"/>
      <c r="H37" s="8"/>
      <c r="I37" s="26"/>
      <c r="J37" s="17"/>
      <c r="K37" s="26"/>
      <c r="L37" s="8"/>
    </row>
    <row r="38" spans="1:12">
      <c r="A38" s="36">
        <v>2004</v>
      </c>
      <c r="B38" s="36">
        <v>95.8</v>
      </c>
      <c r="C38" s="36">
        <v>94</v>
      </c>
      <c r="D38" s="36">
        <v>97</v>
      </c>
      <c r="E38" s="28"/>
      <c r="F38" s="33"/>
      <c r="G38" s="33"/>
      <c r="H38" s="8"/>
      <c r="I38" s="26"/>
      <c r="J38" s="17"/>
      <c r="K38" s="26"/>
      <c r="L38" s="8"/>
    </row>
    <row r="39" spans="1:12">
      <c r="A39" s="36">
        <v>2005</v>
      </c>
      <c r="B39" s="36">
        <v>98.7</v>
      </c>
      <c r="C39" s="36">
        <v>97</v>
      </c>
      <c r="D39" s="36">
        <v>99</v>
      </c>
      <c r="E39" s="28"/>
      <c r="F39" s="33"/>
      <c r="G39" s="33"/>
      <c r="H39" s="8"/>
      <c r="I39" s="26"/>
      <c r="J39" s="17"/>
      <c r="K39" s="26"/>
      <c r="L39" s="8"/>
    </row>
    <row r="40" spans="1:12">
      <c r="A40" s="36">
        <v>2006</v>
      </c>
      <c r="B40" s="36">
        <v>100</v>
      </c>
      <c r="C40" s="36">
        <v>100</v>
      </c>
      <c r="D40" s="36">
        <v>100</v>
      </c>
      <c r="E40" s="28"/>
      <c r="F40" s="33"/>
      <c r="G40" s="33"/>
      <c r="H40" s="8"/>
      <c r="I40" s="26"/>
      <c r="J40" s="17"/>
      <c r="K40" s="26"/>
      <c r="L40" s="8"/>
    </row>
    <row r="41" spans="1:12">
      <c r="A41" s="36">
        <v>2007</v>
      </c>
      <c r="B41" s="36">
        <v>100.6</v>
      </c>
      <c r="C41" s="36">
        <v>104</v>
      </c>
      <c r="D41" s="36">
        <v>101</v>
      </c>
      <c r="E41" s="28"/>
      <c r="F41" s="33"/>
      <c r="G41" s="33"/>
      <c r="H41" s="8"/>
      <c r="I41" s="26"/>
      <c r="J41" s="17"/>
      <c r="K41" s="26"/>
      <c r="L41" s="8"/>
    </row>
    <row r="42" spans="1:12">
      <c r="A42" s="36">
        <v>2008</v>
      </c>
      <c r="B42" s="36">
        <v>99.3</v>
      </c>
      <c r="C42" s="36">
        <v>106</v>
      </c>
      <c r="D42" s="36">
        <v>101</v>
      </c>
      <c r="E42" s="28"/>
      <c r="F42" s="33"/>
      <c r="G42" s="33"/>
      <c r="H42" s="8"/>
      <c r="I42" s="26"/>
      <c r="J42" s="17"/>
      <c r="K42" s="26"/>
      <c r="L42" s="8"/>
    </row>
    <row r="43" spans="1:12">
      <c r="A43" s="36">
        <v>2009</v>
      </c>
      <c r="B43" s="36">
        <v>99.3</v>
      </c>
      <c r="C43" s="36">
        <v>109</v>
      </c>
      <c r="D43" s="36">
        <v>103</v>
      </c>
      <c r="E43" s="28"/>
      <c r="F43" s="33"/>
      <c r="G43" s="33"/>
      <c r="H43" s="8"/>
      <c r="I43" s="26"/>
      <c r="J43" s="17"/>
      <c r="K43" s="26"/>
      <c r="L43" s="8"/>
    </row>
    <row r="44" spans="1:12">
      <c r="A44" s="36">
        <v>2010</v>
      </c>
      <c r="B44" s="36">
        <v>101</v>
      </c>
      <c r="C44" s="36">
        <v>109</v>
      </c>
      <c r="D44" s="36">
        <v>102</v>
      </c>
      <c r="E44" s="28"/>
      <c r="F44" s="33"/>
      <c r="G44" s="33"/>
      <c r="H44" s="8"/>
      <c r="I44" s="26"/>
      <c r="J44" s="17"/>
      <c r="K44" s="26"/>
      <c r="L44" s="8"/>
    </row>
    <row r="45" spans="1:12">
      <c r="A45" s="36">
        <v>2011</v>
      </c>
      <c r="B45" s="36">
        <v>101</v>
      </c>
      <c r="C45" s="36">
        <v>112</v>
      </c>
      <c r="D45" s="36">
        <v>104</v>
      </c>
      <c r="E45" s="28"/>
      <c r="F45" s="33"/>
      <c r="G45" s="33"/>
      <c r="H45" s="8"/>
      <c r="I45" s="26"/>
      <c r="J45" s="17"/>
      <c r="K45" s="26"/>
      <c r="L45" s="8"/>
    </row>
    <row r="46" spans="1:12">
      <c r="A46" s="36">
        <v>2012</v>
      </c>
      <c r="B46" s="36">
        <v>103.1</v>
      </c>
      <c r="C46" s="36">
        <v>116</v>
      </c>
      <c r="D46" s="36">
        <v>106</v>
      </c>
      <c r="E46" s="28"/>
      <c r="F46" s="33"/>
      <c r="G46" s="33"/>
      <c r="H46" s="8"/>
      <c r="I46" s="26"/>
      <c r="J46" s="17"/>
      <c r="K46" s="26"/>
      <c r="L46" s="8"/>
    </row>
    <row r="47" spans="1:12">
      <c r="A47" s="36">
        <v>2013</v>
      </c>
      <c r="B47" s="36">
        <v>105.2</v>
      </c>
      <c r="C47" s="36">
        <v>120</v>
      </c>
      <c r="D47" s="36">
        <v>108</v>
      </c>
      <c r="E47" s="28"/>
      <c r="F47" s="33"/>
      <c r="G47" s="33"/>
      <c r="H47" s="8"/>
      <c r="I47" s="26"/>
      <c r="J47" s="17"/>
      <c r="K47" s="26"/>
      <c r="L47" s="8"/>
    </row>
    <row r="48" spans="1:12">
      <c r="A48" s="36">
        <v>2014</v>
      </c>
      <c r="B48" s="36">
        <v>106</v>
      </c>
      <c r="C48" s="36">
        <v>121</v>
      </c>
      <c r="D48" s="36">
        <v>108</v>
      </c>
      <c r="E48" s="28"/>
      <c r="F48" s="33"/>
      <c r="G48" s="33"/>
      <c r="H48" s="8"/>
      <c r="I48" s="26"/>
      <c r="J48" s="17"/>
      <c r="K48" s="26"/>
      <c r="L48" s="8"/>
    </row>
    <row r="49" spans="1:12">
      <c r="A49" s="36">
        <v>2015</v>
      </c>
      <c r="B49" s="36">
        <v>106.7</v>
      </c>
      <c r="C49" s="36">
        <v>121</v>
      </c>
      <c r="D49" s="36">
        <v>109</v>
      </c>
      <c r="E49" s="28"/>
      <c r="F49" s="33"/>
      <c r="G49" s="33"/>
      <c r="H49" s="8"/>
      <c r="I49" s="26"/>
      <c r="J49" s="17"/>
      <c r="K49" s="26"/>
      <c r="L49" s="8"/>
    </row>
    <row r="50" spans="1:12">
      <c r="A50" s="36">
        <v>2016</v>
      </c>
      <c r="B50" s="36">
        <v>106.9</v>
      </c>
      <c r="C50" s="36">
        <v>118</v>
      </c>
      <c r="D50" s="36">
        <v>108</v>
      </c>
      <c r="E50" s="28"/>
      <c r="F50" s="33"/>
      <c r="G50" s="33"/>
      <c r="H50" s="8"/>
      <c r="I50" s="26"/>
      <c r="J50" s="17"/>
      <c r="K50" s="26"/>
      <c r="L50" s="8"/>
    </row>
    <row r="51" spans="1:12">
      <c r="A51" s="36">
        <v>2017</v>
      </c>
      <c r="B51" s="36">
        <v>108.6</v>
      </c>
      <c r="C51" s="36">
        <v>119</v>
      </c>
      <c r="D51" s="36">
        <v>109</v>
      </c>
      <c r="E51" s="28"/>
      <c r="F51" s="33"/>
      <c r="G51" s="33"/>
      <c r="H51" s="8"/>
      <c r="I51" s="26"/>
      <c r="J51" s="17"/>
      <c r="K51" s="26"/>
      <c r="L51" s="8"/>
    </row>
    <row r="52" spans="1:12">
      <c r="A52" s="36">
        <v>2018</v>
      </c>
      <c r="B52" s="36">
        <v>108.9</v>
      </c>
      <c r="C52" s="36">
        <v>120</v>
      </c>
      <c r="D52" s="36">
        <v>109</v>
      </c>
      <c r="E52" s="28"/>
      <c r="F52" s="33"/>
      <c r="G52" s="33"/>
      <c r="H52" s="8"/>
      <c r="I52" s="26"/>
      <c r="J52" s="17"/>
      <c r="K52" s="26"/>
      <c r="L52" s="8"/>
    </row>
    <row r="53" spans="1:12">
      <c r="A53" s="36">
        <v>2019</v>
      </c>
      <c r="B53" s="36">
        <v>110.1</v>
      </c>
      <c r="C53" s="36">
        <v>122</v>
      </c>
      <c r="D53" s="36">
        <v>111</v>
      </c>
      <c r="E53" s="28"/>
      <c r="F53" s="33"/>
      <c r="G53" s="33"/>
      <c r="H53" s="8"/>
      <c r="I53" s="26"/>
      <c r="J53" s="17"/>
      <c r="K53" s="26"/>
      <c r="L53" s="8"/>
    </row>
    <row r="54" spans="1:12">
      <c r="A54" s="36">
        <v>2020</v>
      </c>
      <c r="B54" s="36">
        <v>109.2</v>
      </c>
      <c r="C54" s="36">
        <v>123</v>
      </c>
      <c r="D54" s="36">
        <v>111</v>
      </c>
      <c r="E54" s="28"/>
      <c r="F54" s="33"/>
      <c r="G54" s="33"/>
      <c r="H54" s="8"/>
      <c r="I54" s="26"/>
      <c r="J54" s="17"/>
      <c r="K54" s="26"/>
      <c r="L54" s="8"/>
    </row>
    <row r="55" spans="1:12">
      <c r="A55" s="36">
        <v>2021</v>
      </c>
      <c r="B55" s="36">
        <v>111.1</v>
      </c>
      <c r="C55" s="36">
        <v>124</v>
      </c>
      <c r="D55" s="36">
        <v>111</v>
      </c>
      <c r="E55" s="28"/>
      <c r="F55" s="33"/>
      <c r="G55" s="33"/>
      <c r="H55" s="8"/>
      <c r="I55" s="26"/>
      <c r="J55" s="17"/>
      <c r="K55" s="26"/>
      <c r="L55" s="8"/>
    </row>
    <row r="56" spans="1:12">
      <c r="A56" s="36">
        <v>2022</v>
      </c>
      <c r="B56" s="36">
        <v>111.4</v>
      </c>
      <c r="C56" s="36">
        <v>122</v>
      </c>
      <c r="D56" s="36">
        <v>107</v>
      </c>
      <c r="E56" s="28"/>
      <c r="F56" s="33"/>
      <c r="G56" s="33"/>
      <c r="H56" s="8"/>
      <c r="I56" s="26"/>
      <c r="J56" s="17"/>
      <c r="K56" s="26"/>
      <c r="L56" s="8"/>
    </row>
    <row r="57" spans="1:12">
      <c r="A57" s="42"/>
      <c r="B57" s="43"/>
      <c r="C57" s="44"/>
      <c r="D57" s="43"/>
      <c r="E57" s="28"/>
      <c r="F57" s="33"/>
      <c r="G57" s="33"/>
      <c r="H57" s="8"/>
      <c r="I57" s="26"/>
      <c r="J57" s="17"/>
      <c r="K57" s="26"/>
      <c r="L57" s="8"/>
    </row>
    <row r="58" spans="1:12">
      <c r="A58" s="9"/>
      <c r="B58" s="24"/>
      <c r="C58" s="26"/>
      <c r="D58" s="8"/>
      <c r="E58" s="8"/>
      <c r="F58" s="9"/>
      <c r="G58" s="24"/>
      <c r="H58" s="24"/>
      <c r="I58" s="8"/>
      <c r="J58" s="8"/>
      <c r="K58" s="8"/>
      <c r="L58" s="8"/>
    </row>
    <row r="59" spans="1:1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71" spans="1:10">
      <c r="A71" s="8"/>
      <c r="B71" s="24"/>
      <c r="C71" s="8"/>
      <c r="D71" s="24"/>
      <c r="E71" s="32"/>
      <c r="F71" s="8"/>
      <c r="G71" s="17"/>
      <c r="H71" s="24"/>
      <c r="I71" s="23"/>
      <c r="J71" s="24"/>
    </row>
    <row r="72" spans="1:10">
      <c r="A72" s="23"/>
      <c r="B72" s="29"/>
      <c r="C72" s="25"/>
      <c r="D72" s="29"/>
      <c r="E72" s="23"/>
      <c r="F72" s="8"/>
      <c r="G72" s="8"/>
      <c r="H72" s="26"/>
      <c r="I72" s="8"/>
      <c r="J72" s="25"/>
    </row>
    <row r="73" spans="1:10">
      <c r="A73" s="23"/>
      <c r="B73" s="30"/>
      <c r="C73" s="26"/>
      <c r="D73" s="30"/>
      <c r="E73" s="28"/>
      <c r="F73" s="33"/>
      <c r="G73" s="33"/>
      <c r="H73" s="26"/>
      <c r="I73" s="8"/>
      <c r="J73" s="26"/>
    </row>
    <row r="74" spans="1:10">
      <c r="A74" s="23"/>
      <c r="B74" s="30"/>
      <c r="C74" s="26"/>
      <c r="D74" s="30"/>
      <c r="E74" s="28"/>
      <c r="F74" s="33"/>
      <c r="G74" s="33"/>
      <c r="H74" s="26"/>
      <c r="I74" s="8"/>
      <c r="J74" s="26"/>
    </row>
    <row r="75" spans="1:10">
      <c r="A75" s="23"/>
      <c r="B75" s="30"/>
      <c r="C75" s="26"/>
      <c r="D75" s="30"/>
      <c r="E75" s="28"/>
      <c r="F75" s="33"/>
      <c r="G75" s="33"/>
      <c r="H75" s="26"/>
      <c r="I75" s="8"/>
      <c r="J75" s="26"/>
    </row>
    <row r="76" spans="1:10">
      <c r="A76" s="23"/>
      <c r="B76" s="30"/>
      <c r="C76" s="26"/>
      <c r="D76" s="30"/>
      <c r="E76" s="28"/>
      <c r="F76" s="33"/>
      <c r="G76" s="33"/>
      <c r="H76" s="26"/>
      <c r="I76" s="8"/>
      <c r="J76" s="26"/>
    </row>
    <row r="77" spans="1:10">
      <c r="A77" s="23"/>
      <c r="B77" s="30"/>
      <c r="C77" s="26"/>
      <c r="D77" s="30"/>
      <c r="E77" s="28"/>
      <c r="F77" s="33"/>
      <c r="G77" s="33"/>
      <c r="H77" s="26"/>
      <c r="I77" s="8"/>
      <c r="J77" s="26"/>
    </row>
    <row r="78" spans="1:10">
      <c r="A78" s="23"/>
      <c r="B78" s="30"/>
      <c r="C78" s="26"/>
      <c r="D78" s="30"/>
      <c r="E78" s="28"/>
      <c r="F78" s="33"/>
      <c r="G78" s="33"/>
      <c r="H78" s="26"/>
      <c r="I78" s="8"/>
      <c r="J78" s="26"/>
    </row>
    <row r="79" spans="1:10">
      <c r="A79" s="23"/>
      <c r="B79" s="30"/>
      <c r="C79" s="26"/>
      <c r="D79" s="30"/>
      <c r="E79" s="28"/>
      <c r="F79" s="33"/>
      <c r="G79" s="33"/>
      <c r="H79" s="26"/>
      <c r="I79" s="8"/>
      <c r="J79" s="26"/>
    </row>
    <row r="80" spans="1:10">
      <c r="A80" s="23"/>
      <c r="B80" s="30"/>
      <c r="C80" s="26"/>
      <c r="D80" s="30"/>
      <c r="E80" s="28"/>
      <c r="F80" s="33"/>
      <c r="G80" s="33"/>
      <c r="H80" s="26"/>
      <c r="I80" s="8"/>
      <c r="J80" s="26"/>
    </row>
    <row r="81" spans="1:10">
      <c r="A81" s="23"/>
      <c r="B81" s="30"/>
      <c r="C81" s="26"/>
      <c r="D81" s="30"/>
      <c r="E81" s="28"/>
      <c r="F81" s="33"/>
      <c r="G81" s="33"/>
      <c r="H81" s="26"/>
      <c r="I81" s="8"/>
      <c r="J81" s="26"/>
    </row>
    <row r="82" spans="1:10">
      <c r="A82" s="23"/>
      <c r="B82" s="30"/>
      <c r="C82" s="26"/>
      <c r="D82" s="30"/>
      <c r="E82" s="28"/>
      <c r="F82" s="33"/>
      <c r="G82" s="33"/>
      <c r="H82" s="26"/>
      <c r="I82" s="8"/>
      <c r="J82" s="26"/>
    </row>
    <row r="83" spans="1:10">
      <c r="A83" s="23"/>
      <c r="B83" s="30"/>
      <c r="C83" s="26"/>
      <c r="D83" s="30"/>
      <c r="E83" s="28"/>
      <c r="F83" s="33"/>
      <c r="G83" s="33"/>
      <c r="H83" s="26"/>
      <c r="I83" s="8"/>
      <c r="J83" s="26"/>
    </row>
    <row r="84" spans="1:10">
      <c r="A84" s="23"/>
      <c r="B84" s="30"/>
      <c r="C84" s="26"/>
      <c r="D84" s="30"/>
      <c r="E84" s="28"/>
      <c r="F84" s="33"/>
      <c r="G84" s="33"/>
      <c r="H84" s="26"/>
      <c r="I84" s="8"/>
      <c r="J84" s="26"/>
    </row>
    <row r="85" spans="1:10">
      <c r="A85" s="23"/>
      <c r="B85" s="30"/>
      <c r="C85" s="26"/>
      <c r="D85" s="30"/>
      <c r="E85" s="28"/>
      <c r="F85" s="33"/>
      <c r="G85" s="33"/>
      <c r="H85" s="26"/>
      <c r="I85" s="8"/>
      <c r="J85" s="26"/>
    </row>
    <row r="86" spans="1:10">
      <c r="A86" s="23"/>
      <c r="B86" s="30"/>
      <c r="C86" s="26"/>
      <c r="D86" s="30"/>
      <c r="E86" s="28"/>
      <c r="F86" s="33"/>
      <c r="G86" s="33"/>
      <c r="H86" s="26"/>
      <c r="I86" s="8"/>
      <c r="J86" s="26"/>
    </row>
    <row r="87" spans="1:10">
      <c r="A87" s="23"/>
      <c r="B87" s="30"/>
      <c r="C87" s="26"/>
      <c r="D87" s="30"/>
      <c r="E87" s="28"/>
      <c r="F87" s="33"/>
      <c r="G87" s="33"/>
      <c r="H87" s="26"/>
      <c r="I87" s="8"/>
      <c r="J87" s="26"/>
    </row>
    <row r="88" spans="1:10">
      <c r="A88" s="23"/>
      <c r="B88" s="30"/>
      <c r="C88" s="26"/>
      <c r="D88" s="30"/>
      <c r="E88" s="28"/>
      <c r="F88" s="33"/>
      <c r="G88" s="33"/>
      <c r="H88" s="26"/>
      <c r="I88" s="8"/>
      <c r="J88" s="26"/>
    </row>
    <row r="89" spans="1:10">
      <c r="A89" s="23"/>
      <c r="B89" s="30"/>
      <c r="C89" s="26"/>
      <c r="D89" s="30"/>
      <c r="E89" s="28"/>
      <c r="F89" s="33"/>
      <c r="G89" s="33"/>
      <c r="H89" s="26"/>
      <c r="I89" s="8"/>
      <c r="J89" s="26"/>
    </row>
    <row r="90" spans="1:10">
      <c r="A90" s="23"/>
      <c r="B90" s="30"/>
      <c r="C90" s="26"/>
      <c r="D90" s="30"/>
      <c r="E90" s="28"/>
      <c r="F90" s="33"/>
      <c r="G90" s="33"/>
      <c r="H90" s="26"/>
      <c r="I90" s="8"/>
      <c r="J90" s="26"/>
    </row>
    <row r="91" spans="1:10">
      <c r="A91" s="23"/>
      <c r="B91" s="30"/>
      <c r="C91" s="26"/>
      <c r="D91" s="30"/>
      <c r="E91" s="28"/>
      <c r="F91" s="33"/>
      <c r="G91" s="33"/>
      <c r="H91" s="26"/>
      <c r="I91" s="8"/>
      <c r="J91" s="26"/>
    </row>
    <row r="92" spans="1:10">
      <c r="A92" s="23"/>
      <c r="B92" s="30"/>
      <c r="C92" s="26"/>
      <c r="D92" s="30"/>
      <c r="E92" s="28"/>
      <c r="F92" s="33"/>
      <c r="G92" s="33"/>
      <c r="H92" s="26"/>
      <c r="I92" s="8"/>
      <c r="J92" s="26"/>
    </row>
    <row r="93" spans="1:10">
      <c r="A93" s="23"/>
      <c r="B93" s="30"/>
      <c r="C93" s="26"/>
      <c r="D93" s="30"/>
      <c r="E93" s="28"/>
      <c r="F93" s="33"/>
      <c r="G93" s="33"/>
      <c r="H93" s="26"/>
      <c r="I93" s="8"/>
      <c r="J93" s="26"/>
    </row>
    <row r="94" spans="1:10">
      <c r="A94" s="23"/>
      <c r="B94" s="30"/>
      <c r="C94" s="26"/>
      <c r="D94" s="30"/>
      <c r="E94" s="28"/>
      <c r="F94" s="33"/>
      <c r="G94" s="33"/>
      <c r="H94" s="26"/>
      <c r="I94" s="8"/>
      <c r="J94" s="26"/>
    </row>
    <row r="95" spans="1:10">
      <c r="A95" s="23"/>
      <c r="B95" s="30"/>
      <c r="C95" s="26"/>
      <c r="D95" s="30"/>
      <c r="E95" s="28"/>
      <c r="F95" s="33"/>
      <c r="G95" s="33"/>
      <c r="H95" s="26"/>
      <c r="I95" s="8"/>
      <c r="J95" s="26"/>
    </row>
    <row r="96" spans="1:10">
      <c r="A96" s="23"/>
      <c r="B96" s="30"/>
      <c r="C96" s="26"/>
      <c r="D96" s="30"/>
      <c r="E96" s="28"/>
      <c r="F96" s="33"/>
      <c r="G96" s="33"/>
      <c r="H96" s="26"/>
      <c r="I96" s="8"/>
      <c r="J96" s="26"/>
    </row>
    <row r="97" spans="1:10">
      <c r="A97" s="23"/>
      <c r="B97" s="30"/>
      <c r="C97" s="26"/>
      <c r="D97" s="30"/>
      <c r="E97" s="28"/>
      <c r="F97" s="33"/>
      <c r="G97" s="33"/>
      <c r="H97" s="26"/>
      <c r="I97" s="8"/>
      <c r="J97" s="26"/>
    </row>
    <row r="98" spans="1:10">
      <c r="A98" s="23"/>
      <c r="B98" s="30"/>
      <c r="C98" s="26"/>
      <c r="D98" s="30"/>
      <c r="E98" s="28"/>
      <c r="F98" s="33"/>
      <c r="G98" s="33"/>
      <c r="H98" s="26"/>
      <c r="I98" s="8"/>
      <c r="J98" s="26"/>
    </row>
    <row r="99" spans="1:10">
      <c r="A99" s="23"/>
      <c r="B99" s="30"/>
      <c r="C99" s="26"/>
      <c r="D99" s="30"/>
      <c r="E99" s="28"/>
      <c r="F99" s="33"/>
      <c r="G99" s="33"/>
      <c r="H99" s="26"/>
      <c r="I99" s="8"/>
      <c r="J99" s="26"/>
    </row>
    <row r="100" spans="1:10">
      <c r="A100" s="23"/>
      <c r="B100" s="30"/>
      <c r="C100" s="26"/>
      <c r="D100" s="30"/>
      <c r="E100" s="28"/>
      <c r="F100" s="33"/>
      <c r="G100" s="33"/>
      <c r="H100" s="26"/>
      <c r="I100" s="8"/>
      <c r="J100" s="26"/>
    </row>
    <row r="101" spans="1:10">
      <c r="A101" s="23"/>
      <c r="B101" s="30"/>
      <c r="C101" s="26"/>
      <c r="D101" s="30"/>
      <c r="E101" s="28"/>
      <c r="F101" s="33"/>
      <c r="G101" s="33"/>
      <c r="H101" s="26"/>
      <c r="I101" s="8"/>
      <c r="J101" s="26"/>
    </row>
    <row r="102" spans="1:10">
      <c r="A102" s="23"/>
      <c r="B102" s="30"/>
      <c r="C102" s="26"/>
      <c r="D102" s="30"/>
      <c r="E102" s="28"/>
      <c r="F102" s="33"/>
      <c r="G102" s="33"/>
      <c r="H102" s="26"/>
      <c r="I102" s="8"/>
      <c r="J102" s="26"/>
    </row>
    <row r="103" spans="1:10">
      <c r="A103" s="23"/>
      <c r="B103" s="30"/>
      <c r="C103" s="26"/>
      <c r="D103" s="30"/>
      <c r="E103" s="28"/>
      <c r="F103" s="33"/>
      <c r="G103" s="33"/>
      <c r="H103" s="26"/>
      <c r="I103" s="8"/>
      <c r="J103" s="26"/>
    </row>
    <row r="104" spans="1:10">
      <c r="A104" s="23"/>
      <c r="B104" s="30"/>
      <c r="C104" s="26"/>
      <c r="D104" s="30"/>
      <c r="E104" s="28"/>
      <c r="F104" s="33"/>
      <c r="G104" s="33"/>
      <c r="H104" s="26"/>
      <c r="I104" s="8"/>
      <c r="J104" s="26"/>
    </row>
    <row r="105" spans="1:10">
      <c r="A105" s="23"/>
      <c r="B105" s="30"/>
      <c r="C105" s="26"/>
      <c r="D105" s="30"/>
      <c r="E105" s="28"/>
      <c r="F105" s="33"/>
      <c r="G105" s="33"/>
      <c r="H105" s="26"/>
      <c r="I105" s="8"/>
      <c r="J105" s="26"/>
    </row>
    <row r="106" spans="1:10">
      <c r="A106" s="23"/>
      <c r="B106" s="30"/>
      <c r="C106" s="26"/>
      <c r="D106" s="30"/>
      <c r="E106" s="28"/>
      <c r="F106" s="33"/>
      <c r="G106" s="33"/>
      <c r="H106" s="26"/>
      <c r="I106" s="8"/>
      <c r="J106" s="26"/>
    </row>
    <row r="107" spans="1:10">
      <c r="A107" s="23"/>
      <c r="B107" s="30"/>
      <c r="C107" s="26"/>
      <c r="D107" s="30"/>
      <c r="E107" s="28"/>
      <c r="F107" s="33"/>
      <c r="G107" s="33"/>
      <c r="H107" s="26"/>
      <c r="I107" s="8"/>
      <c r="J107" s="26"/>
    </row>
    <row r="108" spans="1:10">
      <c r="A108" s="23"/>
      <c r="B108" s="30"/>
      <c r="C108" s="26"/>
      <c r="D108" s="30"/>
      <c r="E108" s="28"/>
      <c r="F108" s="33"/>
      <c r="G108" s="33"/>
      <c r="H108" s="26"/>
      <c r="I108" s="8"/>
      <c r="J108" s="26"/>
    </row>
    <row r="109" spans="1:10">
      <c r="A109" s="23"/>
      <c r="B109" s="30"/>
      <c r="C109" s="26"/>
      <c r="D109" s="30"/>
      <c r="E109" s="28"/>
      <c r="F109" s="33"/>
      <c r="G109" s="33"/>
      <c r="H109" s="26"/>
      <c r="I109" s="8"/>
      <c r="J109" s="26"/>
    </row>
    <row r="110" spans="1:10">
      <c r="A110" s="23"/>
      <c r="B110" s="30"/>
      <c r="C110" s="26"/>
      <c r="D110" s="30"/>
      <c r="E110" s="28"/>
      <c r="F110" s="33"/>
      <c r="G110" s="33"/>
      <c r="H110" s="26"/>
      <c r="I110" s="8"/>
      <c r="J110" s="26"/>
    </row>
    <row r="111" spans="1:10">
      <c r="A111" s="23"/>
      <c r="B111" s="30"/>
      <c r="C111" s="26"/>
      <c r="D111" s="30"/>
      <c r="E111" s="28"/>
      <c r="F111" s="33"/>
      <c r="G111" s="33"/>
      <c r="H111" s="26"/>
      <c r="I111" s="8"/>
      <c r="J111" s="26"/>
    </row>
    <row r="112" spans="1:10">
      <c r="A112" s="23"/>
      <c r="B112" s="30"/>
      <c r="C112" s="26"/>
      <c r="D112" s="30"/>
      <c r="E112" s="28"/>
      <c r="F112" s="33"/>
      <c r="G112" s="33"/>
      <c r="H112" s="26"/>
      <c r="I112" s="8"/>
      <c r="J112" s="26"/>
    </row>
    <row r="113" spans="1:10">
      <c r="A113" s="23"/>
      <c r="B113" s="30"/>
      <c r="C113" s="26"/>
      <c r="D113" s="30"/>
      <c r="E113" s="28"/>
      <c r="F113" s="33"/>
      <c r="G113" s="33"/>
      <c r="H113" s="26"/>
      <c r="I113" s="8"/>
      <c r="J113" s="26"/>
    </row>
    <row r="114" spans="1:10">
      <c r="A114" s="23"/>
      <c r="B114" s="30"/>
      <c r="C114" s="26"/>
      <c r="D114" s="30"/>
      <c r="E114" s="28"/>
      <c r="F114" s="33"/>
      <c r="G114" s="33"/>
      <c r="H114" s="26"/>
      <c r="I114" s="8"/>
      <c r="J114" s="26"/>
    </row>
    <row r="115" spans="1:10">
      <c r="A115" s="23"/>
      <c r="B115" s="30"/>
      <c r="C115" s="26"/>
      <c r="D115" s="30"/>
      <c r="E115" s="28"/>
      <c r="F115" s="33"/>
      <c r="G115" s="33"/>
      <c r="H115" s="26"/>
      <c r="I115" s="8"/>
      <c r="J115" s="26"/>
    </row>
    <row r="116" spans="1:10">
      <c r="A116" s="23"/>
      <c r="B116" s="30"/>
      <c r="C116" s="26"/>
      <c r="D116" s="30"/>
      <c r="E116" s="28"/>
      <c r="F116" s="33"/>
      <c r="G116" s="33"/>
      <c r="H116" s="26"/>
      <c r="I116" s="8"/>
      <c r="J116" s="26"/>
    </row>
    <row r="117" spans="1:10">
      <c r="A117" s="23"/>
      <c r="B117" s="30"/>
      <c r="C117" s="26"/>
      <c r="D117" s="30"/>
      <c r="E117" s="28"/>
      <c r="F117" s="33"/>
      <c r="G117" s="33"/>
      <c r="H117" s="26"/>
      <c r="I117" s="8"/>
      <c r="J117" s="26"/>
    </row>
    <row r="118" spans="1:10">
      <c r="A118" s="23"/>
      <c r="B118" s="30"/>
      <c r="C118" s="26"/>
      <c r="D118" s="30"/>
      <c r="E118" s="28"/>
      <c r="F118" s="33"/>
      <c r="G118" s="33"/>
      <c r="H118" s="26"/>
      <c r="I118" s="8"/>
      <c r="J118" s="26"/>
    </row>
    <row r="119" spans="1:10">
      <c r="A119" s="23"/>
      <c r="B119" s="30"/>
      <c r="C119" s="26"/>
      <c r="D119" s="30"/>
      <c r="E119" s="28"/>
      <c r="F119" s="33"/>
      <c r="G119" s="33"/>
      <c r="H119" s="26"/>
      <c r="I119" s="8"/>
      <c r="J119" s="26"/>
    </row>
    <row r="120" spans="1:10">
      <c r="A120" s="23"/>
      <c r="B120" s="30"/>
      <c r="C120" s="26"/>
      <c r="D120" s="30"/>
      <c r="E120" s="28"/>
      <c r="F120" s="33"/>
      <c r="G120" s="33"/>
      <c r="H120" s="26"/>
      <c r="I120" s="8"/>
      <c r="J120" s="26"/>
    </row>
    <row r="121" spans="1:10">
      <c r="A121" s="23"/>
      <c r="B121" s="30"/>
      <c r="C121" s="26"/>
      <c r="D121" s="30"/>
      <c r="E121" s="28"/>
      <c r="F121" s="33"/>
      <c r="G121" s="33"/>
      <c r="H121" s="26"/>
      <c r="I121" s="8"/>
      <c r="J121" s="26"/>
    </row>
    <row r="122" spans="1:10">
      <c r="A122" s="23"/>
      <c r="B122" s="30"/>
      <c r="C122" s="26"/>
      <c r="D122" s="30"/>
      <c r="E122" s="28"/>
      <c r="F122" s="33"/>
      <c r="G122" s="33"/>
      <c r="H122" s="26"/>
      <c r="I122" s="8"/>
      <c r="J122" s="26"/>
    </row>
    <row r="123" spans="1:10">
      <c r="A123" s="23"/>
      <c r="B123" s="30"/>
      <c r="C123" s="26"/>
      <c r="D123" s="30"/>
      <c r="E123" s="28"/>
      <c r="F123" s="33"/>
      <c r="G123" s="33"/>
      <c r="H123" s="26"/>
      <c r="I123" s="8"/>
      <c r="J123" s="26"/>
    </row>
    <row r="124" spans="1:10">
      <c r="A124" s="23"/>
      <c r="B124" s="30"/>
      <c r="C124" s="26"/>
      <c r="D124" s="30"/>
      <c r="E124" s="28"/>
      <c r="F124" s="33"/>
      <c r="G124" s="33"/>
      <c r="H124" s="26"/>
      <c r="I124" s="8"/>
      <c r="J124" s="26"/>
    </row>
    <row r="125" spans="1:10">
      <c r="A125" s="23"/>
      <c r="B125" s="30"/>
      <c r="C125" s="26"/>
      <c r="D125" s="30"/>
      <c r="E125" s="28"/>
      <c r="F125" s="33"/>
      <c r="G125" s="33"/>
      <c r="H125" s="26"/>
      <c r="I125" s="8"/>
      <c r="J125" s="2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FED9-7C85-4CFC-BFDA-40D57A447161}">
  <sheetPr>
    <pageSetUpPr fitToPage="1"/>
  </sheetPr>
  <dimension ref="A1:R132"/>
  <sheetViews>
    <sheetView zoomScaleNormal="100" workbookViewId="0">
      <selection activeCell="H6" sqref="H6"/>
    </sheetView>
  </sheetViews>
  <sheetFormatPr baseColWidth="10" defaultColWidth="9.109375" defaultRowHeight="10.199999999999999"/>
  <cols>
    <col min="1" max="1" width="14.109375" style="110" customWidth="1"/>
    <col min="2" max="2" width="9.6640625" style="110" customWidth="1"/>
    <col min="3" max="3" width="8.44140625" style="110" customWidth="1"/>
    <col min="4" max="4" width="9.88671875" style="110" customWidth="1"/>
    <col min="5" max="30" width="4.6640625" style="110" customWidth="1"/>
    <col min="31" max="16384" width="9.109375" style="110"/>
  </cols>
  <sheetData>
    <row r="1" spans="1:18" s="130" customFormat="1" ht="14.4">
      <c r="A1" s="7" t="s">
        <v>435</v>
      </c>
      <c r="B1" s="7" t="s">
        <v>436</v>
      </c>
      <c r="C1" s="135"/>
      <c r="D1" s="135"/>
      <c r="E1" s="135"/>
      <c r="F1" s="135"/>
      <c r="G1" s="135"/>
      <c r="H1" s="134"/>
      <c r="I1" s="134"/>
    </row>
    <row r="2" spans="1:18" s="130" customFormat="1" ht="14.4">
      <c r="A2" s="6"/>
      <c r="B2" s="6"/>
      <c r="C2" s="134"/>
      <c r="D2" s="134"/>
      <c r="E2" s="134"/>
      <c r="F2" s="134"/>
      <c r="G2" s="134"/>
      <c r="H2" s="134"/>
      <c r="I2" s="134"/>
    </row>
    <row r="3" spans="1:18" s="130" customFormat="1" ht="13.8">
      <c r="A3" s="133"/>
      <c r="B3" s="133"/>
      <c r="C3" s="133"/>
      <c r="D3" s="133"/>
      <c r="E3" s="133"/>
      <c r="F3" s="133"/>
      <c r="G3" s="133"/>
      <c r="H3" s="133"/>
      <c r="I3" s="133"/>
    </row>
    <row r="4" spans="1:18" s="130" customFormat="1" ht="14.4">
      <c r="A4" s="242"/>
      <c r="B4" s="242"/>
      <c r="C4" s="242"/>
      <c r="D4" s="242"/>
      <c r="E4" s="242"/>
      <c r="F4" s="242"/>
      <c r="G4" s="242"/>
      <c r="H4" s="242"/>
      <c r="I4" s="242"/>
    </row>
    <row r="5" spans="1:18" s="130" customFormat="1" ht="28.8">
      <c r="A5" s="132"/>
      <c r="B5" s="132" t="s">
        <v>466</v>
      </c>
      <c r="C5" s="131" t="s">
        <v>465</v>
      </c>
      <c r="D5" s="131" t="s">
        <v>714</v>
      </c>
      <c r="E5" s="132"/>
      <c r="G5" s="131"/>
      <c r="I5" s="131"/>
    </row>
    <row r="6" spans="1:18" s="128" customFormat="1" ht="30" customHeight="1">
      <c r="A6" s="124" t="s">
        <v>464</v>
      </c>
      <c r="B6" s="185">
        <v>3.9472632000000001</v>
      </c>
      <c r="C6" s="125">
        <v>2.9942781830258305</v>
      </c>
      <c r="D6" s="125">
        <v>3.5095000270000001</v>
      </c>
      <c r="E6" s="185"/>
      <c r="G6" s="125"/>
      <c r="I6" s="125"/>
      <c r="J6" s="129"/>
      <c r="K6" s="129"/>
      <c r="L6" s="129"/>
      <c r="M6" s="129"/>
      <c r="N6" s="129"/>
      <c r="O6" s="129"/>
      <c r="P6" s="129"/>
      <c r="Q6" s="129"/>
      <c r="R6" s="129"/>
    </row>
    <row r="7" spans="1:18" ht="14.4">
      <c r="A7" s="124" t="s">
        <v>463</v>
      </c>
      <c r="B7" s="185">
        <v>4.1977915000000001</v>
      </c>
      <c r="C7" s="125">
        <v>3.755287186885246</v>
      </c>
      <c r="D7" s="125">
        <v>3.7563662529999999</v>
      </c>
      <c r="E7" s="185"/>
      <c r="G7" s="125"/>
      <c r="I7" s="125"/>
      <c r="J7" s="126"/>
      <c r="K7" s="126"/>
      <c r="L7" s="126"/>
      <c r="M7" s="126"/>
      <c r="N7" s="126"/>
      <c r="O7" s="126"/>
      <c r="P7" s="126"/>
      <c r="Q7" s="126"/>
      <c r="R7" s="126"/>
    </row>
    <row r="8" spans="1:18" ht="14.4">
      <c r="A8" s="124" t="s">
        <v>45</v>
      </c>
      <c r="B8" s="185">
        <v>3.3294264999999998</v>
      </c>
      <c r="C8" s="125">
        <v>3.5338818500000002</v>
      </c>
      <c r="D8" s="125">
        <v>3.9192578789999999</v>
      </c>
      <c r="E8" s="185"/>
      <c r="G8" s="125"/>
      <c r="I8" s="125"/>
      <c r="J8" s="126"/>
      <c r="K8" s="126"/>
      <c r="L8" s="126"/>
      <c r="M8" s="126"/>
      <c r="N8" s="126"/>
      <c r="O8" s="126"/>
      <c r="P8" s="126"/>
      <c r="Q8" s="126"/>
      <c r="R8" s="126"/>
    </row>
    <row r="9" spans="1:18" ht="14.4">
      <c r="A9" s="124" t="s">
        <v>55</v>
      </c>
      <c r="B9" s="185">
        <v>3.7712883000000001</v>
      </c>
      <c r="C9" s="125">
        <v>3.7013009524590164</v>
      </c>
      <c r="D9" s="125">
        <v>3.9854197500000001</v>
      </c>
      <c r="E9" s="185"/>
      <c r="G9" s="125"/>
      <c r="I9" s="125"/>
      <c r="J9" s="126"/>
      <c r="K9" s="126"/>
      <c r="L9" s="126"/>
      <c r="M9" s="126"/>
      <c r="N9" s="126"/>
      <c r="O9" s="126"/>
      <c r="P9" s="126"/>
      <c r="Q9" s="126"/>
      <c r="R9" s="126"/>
    </row>
    <row r="10" spans="1:18" ht="14.4">
      <c r="A10" s="124" t="s">
        <v>51</v>
      </c>
      <c r="B10" s="185">
        <v>4.1309804999999997</v>
      </c>
      <c r="C10" s="125">
        <v>3.6005083384615384</v>
      </c>
      <c r="D10" s="125">
        <v>4.0408077240000004</v>
      </c>
      <c r="E10" s="185"/>
      <c r="G10" s="125"/>
      <c r="I10" s="125"/>
      <c r="J10" s="126"/>
      <c r="K10" s="126"/>
      <c r="L10" s="126"/>
      <c r="M10" s="126"/>
      <c r="N10" s="126"/>
      <c r="O10" s="126"/>
      <c r="P10" s="126"/>
      <c r="Q10" s="126"/>
      <c r="R10" s="126"/>
    </row>
    <row r="11" spans="1:18" ht="14.4">
      <c r="A11" s="124" t="s">
        <v>60</v>
      </c>
      <c r="B11" s="185">
        <v>4.0247504999999997</v>
      </c>
      <c r="C11" s="125">
        <v>4.0950679838383834</v>
      </c>
      <c r="D11" s="125">
        <v>4.2704176900000004</v>
      </c>
      <c r="E11" s="185"/>
      <c r="G11" s="125"/>
      <c r="I11" s="125"/>
      <c r="J11" s="126"/>
      <c r="K11" s="126"/>
      <c r="L11" s="126"/>
      <c r="M11" s="126"/>
      <c r="N11" s="126"/>
      <c r="O11" s="126"/>
      <c r="P11" s="126"/>
      <c r="Q11" s="126"/>
      <c r="R11" s="126"/>
    </row>
    <row r="12" spans="1:18" ht="14.4">
      <c r="A12" s="124" t="s">
        <v>361</v>
      </c>
      <c r="B12" s="185">
        <v>4.5679822999999997</v>
      </c>
      <c r="C12" s="125">
        <v>3.9945724464285717</v>
      </c>
      <c r="D12" s="125">
        <v>4.2735853199999996</v>
      </c>
      <c r="E12" s="185"/>
      <c r="G12" s="125"/>
      <c r="I12" s="125"/>
      <c r="J12" s="126"/>
      <c r="K12" s="126"/>
      <c r="L12" s="126"/>
      <c r="M12" s="126"/>
      <c r="N12" s="126"/>
      <c r="O12" s="126"/>
      <c r="P12" s="126"/>
      <c r="Q12" s="126"/>
      <c r="R12" s="126"/>
    </row>
    <row r="13" spans="1:18" ht="14.4">
      <c r="A13" s="124" t="s">
        <v>64</v>
      </c>
      <c r="B13" s="185">
        <v>5.0664452999999998</v>
      </c>
      <c r="C13" s="125">
        <v>4.2620469118644069</v>
      </c>
      <c r="D13" s="125">
        <v>4.2766380310000001</v>
      </c>
      <c r="E13" s="185"/>
      <c r="G13" s="125"/>
      <c r="I13" s="125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ht="14.4">
      <c r="A14" s="124" t="s">
        <v>62</v>
      </c>
      <c r="B14" s="185">
        <v>5.1722574000000003</v>
      </c>
      <c r="C14" s="125">
        <v>4.5469903645669287</v>
      </c>
      <c r="D14" s="125">
        <v>4.2911906240000004</v>
      </c>
      <c r="E14" s="185"/>
      <c r="G14" s="125"/>
      <c r="I14" s="125"/>
      <c r="J14" s="126"/>
      <c r="K14" s="126"/>
      <c r="L14" s="126"/>
      <c r="M14" s="126"/>
      <c r="N14" s="126"/>
      <c r="O14" s="126"/>
      <c r="P14" s="126"/>
      <c r="Q14" s="126"/>
      <c r="R14" s="126"/>
    </row>
    <row r="15" spans="1:18" ht="14.4">
      <c r="A15" s="124" t="s">
        <v>52</v>
      </c>
      <c r="B15" s="185">
        <v>4.7236507999999997</v>
      </c>
      <c r="C15" s="125">
        <v>4.6633350892857139</v>
      </c>
      <c r="D15" s="125">
        <v>4.3050451279999997</v>
      </c>
      <c r="E15" s="185"/>
      <c r="G15" s="125"/>
      <c r="I15" s="125"/>
      <c r="J15" s="126"/>
      <c r="K15" s="126"/>
      <c r="L15" s="126"/>
      <c r="M15" s="126"/>
      <c r="N15" s="126"/>
      <c r="O15" s="126"/>
      <c r="P15" s="126"/>
      <c r="Q15" s="126"/>
      <c r="R15" s="126"/>
    </row>
    <row r="16" spans="1:18" ht="12.75" customHeight="1">
      <c r="A16" s="124" t="s">
        <v>462</v>
      </c>
      <c r="B16" s="185">
        <v>4.9921281000000004</v>
      </c>
      <c r="C16" s="125">
        <v>4.6373481476744187</v>
      </c>
      <c r="D16" s="125">
        <v>4.37764883</v>
      </c>
      <c r="E16" s="185"/>
      <c r="G16" s="125"/>
      <c r="I16" s="125"/>
      <c r="J16" s="126"/>
      <c r="K16" s="126"/>
      <c r="L16" s="126"/>
      <c r="M16" s="126"/>
      <c r="N16" s="126"/>
      <c r="O16" s="126"/>
      <c r="P16" s="126"/>
      <c r="Q16" s="126"/>
      <c r="R16" s="126"/>
    </row>
    <row r="17" spans="1:18" ht="12.75" customHeight="1">
      <c r="A17" s="124" t="s">
        <v>461</v>
      </c>
      <c r="B17" s="185">
        <v>4.8303120000000002</v>
      </c>
      <c r="C17" s="125">
        <v>4.2559503943548389</v>
      </c>
      <c r="D17" s="125">
        <v>4.3847451209999999</v>
      </c>
      <c r="E17" s="185"/>
      <c r="G17" s="125"/>
      <c r="I17" s="125"/>
      <c r="J17" s="126"/>
      <c r="K17" s="126"/>
      <c r="L17" s="126"/>
      <c r="M17" s="126"/>
      <c r="N17" s="126"/>
      <c r="O17" s="126"/>
      <c r="P17" s="126"/>
      <c r="Q17" s="126"/>
      <c r="R17" s="126"/>
    </row>
    <row r="18" spans="1:18" ht="14.4">
      <c r="A18" s="124" t="s">
        <v>460</v>
      </c>
      <c r="B18" s="185">
        <v>5.0116702999999996</v>
      </c>
      <c r="C18" s="125">
        <v>4.7372583478260868</v>
      </c>
      <c r="D18" s="125">
        <v>4.3985433580000004</v>
      </c>
      <c r="E18" s="185"/>
      <c r="G18" s="125"/>
      <c r="I18" s="125"/>
      <c r="J18" s="126"/>
      <c r="K18" s="126"/>
      <c r="L18" s="126"/>
      <c r="M18" s="126"/>
      <c r="N18" s="126"/>
      <c r="O18" s="126"/>
      <c r="P18" s="126"/>
      <c r="Q18" s="126"/>
      <c r="R18" s="126"/>
    </row>
    <row r="19" spans="1:18" ht="14.4">
      <c r="A19" s="124" t="s">
        <v>58</v>
      </c>
      <c r="B19" s="185">
        <v>4.3469328999999997</v>
      </c>
      <c r="C19" s="125">
        <v>4.076357856872038</v>
      </c>
      <c r="D19" s="125">
        <v>4.411256313</v>
      </c>
      <c r="E19" s="185"/>
      <c r="G19" s="125"/>
      <c r="I19" s="125"/>
      <c r="J19" s="126"/>
      <c r="K19" s="126"/>
      <c r="L19" s="126"/>
      <c r="M19" s="126"/>
      <c r="N19" s="126"/>
      <c r="O19" s="126"/>
      <c r="P19" s="126"/>
      <c r="Q19" s="126"/>
      <c r="R19" s="126"/>
    </row>
    <row r="20" spans="1:18" ht="14.4">
      <c r="A20" s="124" t="s">
        <v>329</v>
      </c>
      <c r="B20" s="185">
        <v>4.4913131000000002</v>
      </c>
      <c r="C20" s="125">
        <v>4.37544580083682</v>
      </c>
      <c r="D20" s="125">
        <v>4.4333152770000002</v>
      </c>
      <c r="E20" s="185"/>
      <c r="G20" s="125"/>
      <c r="I20" s="125"/>
      <c r="J20" s="126"/>
      <c r="K20" s="126"/>
      <c r="L20" s="126"/>
      <c r="M20" s="126"/>
      <c r="N20" s="126"/>
      <c r="O20" s="126"/>
      <c r="P20" s="126"/>
      <c r="Q20" s="126"/>
      <c r="R20" s="126"/>
    </row>
    <row r="21" spans="1:18" ht="14.4">
      <c r="A21" s="124" t="s">
        <v>57</v>
      </c>
      <c r="B21" s="185">
        <v>4.7660043999999999</v>
      </c>
      <c r="C21" s="125">
        <v>4.2919099982062781</v>
      </c>
      <c r="D21" s="125">
        <v>4.6179871559999999</v>
      </c>
      <c r="E21" s="185"/>
      <c r="G21" s="125"/>
      <c r="I21" s="125"/>
      <c r="J21" s="126"/>
      <c r="K21" s="126"/>
      <c r="L21" s="126"/>
      <c r="M21" s="126"/>
      <c r="N21" s="126"/>
      <c r="O21" s="126"/>
      <c r="P21" s="126"/>
      <c r="Q21" s="126"/>
      <c r="R21" s="126"/>
    </row>
    <row r="22" spans="1:18" ht="14.4">
      <c r="A22" s="124" t="s">
        <v>56</v>
      </c>
      <c r="B22" s="185">
        <v>4.5518314999999996</v>
      </c>
      <c r="C22" s="125">
        <v>4.0484646896739127</v>
      </c>
      <c r="D22" s="125">
        <v>4.6196117399999999</v>
      </c>
      <c r="E22" s="185"/>
      <c r="G22" s="125"/>
      <c r="I22" s="125"/>
      <c r="J22" s="126"/>
      <c r="K22" s="126"/>
      <c r="L22" s="126"/>
      <c r="M22" s="126"/>
      <c r="N22" s="126"/>
      <c r="O22" s="126"/>
      <c r="P22" s="126"/>
      <c r="Q22" s="126"/>
      <c r="R22" s="126"/>
    </row>
    <row r="23" spans="1:18" ht="14.4">
      <c r="A23" s="124" t="s">
        <v>50</v>
      </c>
      <c r="B23" s="185">
        <v>3.9478960999999999</v>
      </c>
      <c r="C23" s="125">
        <v>4.3894668666666661</v>
      </c>
      <c r="D23" s="125">
        <v>4.6911392210000002</v>
      </c>
      <c r="E23" s="185"/>
      <c r="G23" s="125"/>
      <c r="I23" s="125"/>
      <c r="J23" s="126"/>
      <c r="K23" s="126"/>
      <c r="L23" s="126"/>
      <c r="M23" s="126"/>
      <c r="N23" s="126"/>
      <c r="O23" s="126"/>
      <c r="P23" s="126"/>
      <c r="Q23" s="126"/>
      <c r="R23" s="126"/>
    </row>
    <row r="24" spans="1:18" ht="14.4">
      <c r="A24" s="124" t="s">
        <v>459</v>
      </c>
      <c r="B24" s="185">
        <v>4.7432689999999997</v>
      </c>
      <c r="C24" s="125">
        <v>4.547491953658537</v>
      </c>
      <c r="D24" s="125">
        <v>4.8381748199999999</v>
      </c>
      <c r="E24" s="185"/>
      <c r="G24" s="125"/>
      <c r="I24" s="125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ht="14.4">
      <c r="A25" s="124" t="s">
        <v>1</v>
      </c>
      <c r="B25" s="185">
        <v>4.9208300999999999</v>
      </c>
      <c r="C25" s="127">
        <v>4.7692508343608893</v>
      </c>
      <c r="D25" s="127">
        <v>4.9232399264444453</v>
      </c>
      <c r="E25" s="186"/>
      <c r="G25" s="127"/>
      <c r="I25" s="127"/>
      <c r="J25" s="126"/>
      <c r="K25" s="126"/>
      <c r="L25" s="126"/>
      <c r="M25" s="126"/>
      <c r="N25" s="126"/>
      <c r="O25" s="126"/>
      <c r="P25" s="126"/>
      <c r="Q25" s="126"/>
      <c r="R25" s="126"/>
    </row>
    <row r="26" spans="1:18" ht="14.4">
      <c r="A26" s="124" t="s">
        <v>458</v>
      </c>
      <c r="B26" s="185">
        <v>5.4880437000000004</v>
      </c>
      <c r="C26" s="125">
        <v>5.576136</v>
      </c>
      <c r="D26" s="125">
        <v>5.1011199950000004</v>
      </c>
      <c r="E26" s="185"/>
      <c r="G26" s="125"/>
      <c r="I26" s="125"/>
      <c r="J26" s="126"/>
      <c r="K26" s="126"/>
      <c r="L26" s="126"/>
      <c r="M26" s="126"/>
      <c r="N26" s="126"/>
      <c r="O26" s="126"/>
      <c r="P26" s="126"/>
      <c r="Q26" s="126"/>
      <c r="R26" s="126"/>
    </row>
    <row r="27" spans="1:18" ht="14.4">
      <c r="A27" s="124" t="s">
        <v>43</v>
      </c>
      <c r="B27" s="185">
        <v>5.3623607</v>
      </c>
      <c r="C27" s="125">
        <v>4.860761614285714</v>
      </c>
      <c r="D27" s="125">
        <v>5.1171832080000001</v>
      </c>
      <c r="E27" s="185"/>
      <c r="G27" s="125"/>
      <c r="I27" s="125"/>
      <c r="J27" s="126"/>
      <c r="K27" s="126"/>
      <c r="L27" s="126"/>
      <c r="M27" s="126"/>
      <c r="N27" s="126"/>
      <c r="O27" s="126"/>
      <c r="P27" s="126"/>
      <c r="Q27" s="126"/>
      <c r="R27" s="126"/>
    </row>
    <row r="28" spans="1:18" ht="14.4">
      <c r="A28" s="124" t="s">
        <v>457</v>
      </c>
      <c r="B28" s="185">
        <v>4.8667524000000002</v>
      </c>
      <c r="C28" s="125">
        <v>5.0737553863636364</v>
      </c>
      <c r="D28" s="125">
        <v>5.1580233570000003</v>
      </c>
      <c r="E28" s="185"/>
      <c r="G28" s="125"/>
      <c r="I28" s="125"/>
      <c r="J28" s="126"/>
      <c r="K28" s="126"/>
      <c r="L28" s="126"/>
      <c r="M28" s="126"/>
      <c r="N28" s="126"/>
      <c r="O28" s="126"/>
      <c r="P28" s="126"/>
      <c r="Q28" s="126"/>
      <c r="R28" s="126"/>
    </row>
    <row r="29" spans="1:18" ht="14.4">
      <c r="A29" s="124" t="s">
        <v>54</v>
      </c>
      <c r="B29" s="185">
        <v>4.9214332000000001</v>
      </c>
      <c r="C29" s="125">
        <v>4.7919250964285709</v>
      </c>
      <c r="D29" s="125">
        <v>5.1614923480000003</v>
      </c>
      <c r="E29" s="185"/>
      <c r="G29" s="125"/>
      <c r="I29" s="125"/>
      <c r="J29" s="126"/>
      <c r="K29" s="126"/>
      <c r="L29" s="126"/>
      <c r="M29" s="126"/>
      <c r="N29" s="126"/>
      <c r="O29" s="126"/>
      <c r="P29" s="126"/>
      <c r="Q29" s="126"/>
      <c r="R29" s="126"/>
    </row>
    <row r="30" spans="1:18" ht="14.4">
      <c r="A30" s="124" t="s">
        <v>44</v>
      </c>
      <c r="B30" s="185">
        <v>5.2008339000000001</v>
      </c>
      <c r="C30" s="125">
        <v>5.326317754545455</v>
      </c>
      <c r="D30" s="125">
        <v>5.2205529210000003</v>
      </c>
      <c r="E30" s="185"/>
      <c r="G30" s="125"/>
      <c r="I30" s="125"/>
      <c r="J30" s="126"/>
      <c r="K30" s="126"/>
      <c r="L30" s="126"/>
      <c r="M30" s="126"/>
      <c r="N30" s="126"/>
      <c r="O30" s="126"/>
      <c r="P30" s="126"/>
      <c r="Q30" s="126"/>
      <c r="R30" s="126"/>
    </row>
    <row r="31" spans="1:18" ht="14.4">
      <c r="A31" s="124" t="s">
        <v>53</v>
      </c>
      <c r="B31" s="185">
        <v>4.9650707000000001</v>
      </c>
      <c r="C31" s="125">
        <v>5.2517292870129868</v>
      </c>
      <c r="D31" s="125">
        <v>5.2631144519999999</v>
      </c>
      <c r="E31" s="185"/>
      <c r="G31" s="125"/>
      <c r="I31" s="125"/>
      <c r="J31" s="126"/>
      <c r="K31" s="126"/>
      <c r="L31" s="126"/>
      <c r="M31" s="126"/>
      <c r="N31" s="126"/>
      <c r="O31" s="126"/>
      <c r="P31" s="126"/>
      <c r="Q31" s="126"/>
      <c r="R31" s="126"/>
    </row>
    <row r="32" spans="1:18" ht="14.4">
      <c r="A32" s="124" t="s">
        <v>394</v>
      </c>
      <c r="B32" s="185">
        <v>5.3463143999999998</v>
      </c>
      <c r="C32" s="125">
        <v>5.0091809000000005</v>
      </c>
      <c r="D32" s="125">
        <v>5.3017210959999996</v>
      </c>
      <c r="E32" s="185"/>
      <c r="G32" s="125"/>
      <c r="I32" s="125"/>
      <c r="J32" s="126"/>
      <c r="K32" s="126"/>
      <c r="L32" s="126"/>
      <c r="M32" s="126"/>
      <c r="N32" s="126"/>
      <c r="O32" s="126"/>
      <c r="P32" s="126"/>
      <c r="Q32" s="126"/>
      <c r="R32" s="126"/>
    </row>
    <row r="33" spans="1:18" ht="14.4">
      <c r="A33" s="124" t="s">
        <v>456</v>
      </c>
      <c r="B33" s="185">
        <v>4.7795490000000003</v>
      </c>
      <c r="C33" s="125">
        <v>4.9937781894736837</v>
      </c>
      <c r="D33" s="125">
        <v>5.4236269000000004</v>
      </c>
      <c r="E33" s="185"/>
      <c r="G33" s="125"/>
      <c r="I33" s="125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ht="14.4">
      <c r="A34" s="124" t="s">
        <v>0</v>
      </c>
      <c r="B34" s="185">
        <v>5.0919530999999996</v>
      </c>
      <c r="C34" s="125">
        <v>4.8773910373365048</v>
      </c>
      <c r="D34" s="125">
        <v>5.4387607569999998</v>
      </c>
      <c r="E34" s="185"/>
      <c r="G34" s="125"/>
      <c r="I34" s="125"/>
      <c r="J34" s="126"/>
      <c r="K34" s="126"/>
      <c r="L34" s="126"/>
      <c r="M34" s="126"/>
      <c r="N34" s="126"/>
      <c r="O34" s="126"/>
      <c r="P34" s="126"/>
      <c r="Q34" s="126"/>
      <c r="R34" s="126"/>
    </row>
    <row r="35" spans="1:18" ht="14.4">
      <c r="A35" s="124" t="s">
        <v>52</v>
      </c>
      <c r="B35" s="185">
        <v>5.9061706000000003</v>
      </c>
      <c r="C35" s="125">
        <v>5.6318997359281431</v>
      </c>
      <c r="D35" s="125">
        <v>5.5574235920000001</v>
      </c>
      <c r="E35" s="185"/>
      <c r="G35" s="125"/>
      <c r="I35" s="125"/>
      <c r="J35" s="126"/>
      <c r="K35" s="126"/>
      <c r="L35" s="126"/>
      <c r="M35" s="126"/>
      <c r="N35" s="126"/>
      <c r="O35" s="126"/>
      <c r="P35" s="126"/>
      <c r="Q35" s="126"/>
      <c r="R35" s="126"/>
    </row>
    <row r="36" spans="1:18" ht="14.4">
      <c r="A36" s="124" t="s">
        <v>42</v>
      </c>
      <c r="B36" s="185">
        <v>5.7560345000000002</v>
      </c>
      <c r="C36" s="125">
        <v>5.8603189127659574</v>
      </c>
      <c r="D36" s="125">
        <v>5.5773634909999998</v>
      </c>
      <c r="E36" s="185"/>
      <c r="G36" s="125"/>
      <c r="I36" s="125"/>
      <c r="J36" s="126"/>
      <c r="K36" s="126"/>
      <c r="L36" s="126"/>
      <c r="M36" s="126"/>
      <c r="N36" s="126"/>
      <c r="O36" s="126"/>
      <c r="P36" s="126"/>
      <c r="Q36" s="126"/>
      <c r="R36" s="126"/>
    </row>
    <row r="37" spans="1:18" ht="14.4">
      <c r="A37" s="124" t="s">
        <v>455</v>
      </c>
      <c r="B37" s="185">
        <v>5.5127274000000002</v>
      </c>
      <c r="C37" s="125">
        <v>5.5846406581395351</v>
      </c>
      <c r="D37" s="125">
        <v>5.5869903560000003</v>
      </c>
      <c r="E37" s="185"/>
      <c r="G37" s="125"/>
      <c r="I37" s="125"/>
      <c r="J37" s="126"/>
      <c r="K37" s="126"/>
      <c r="L37" s="126"/>
      <c r="M37" s="126"/>
      <c r="N37" s="126"/>
      <c r="O37" s="126"/>
      <c r="P37" s="126"/>
      <c r="Q37" s="126"/>
      <c r="R37" s="126"/>
    </row>
    <row r="38" spans="1:18" ht="14.4">
      <c r="A38" s="124" t="s">
        <v>454</v>
      </c>
      <c r="B38" s="185">
        <v>5.2864474000000001</v>
      </c>
      <c r="C38" s="125">
        <v>5.8565520933333328</v>
      </c>
      <c r="D38" s="125">
        <v>5.6780891420000001</v>
      </c>
      <c r="E38" s="185"/>
      <c r="G38" s="125"/>
      <c r="I38" s="125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ht="14.4">
      <c r="A39" s="124" t="s">
        <v>453</v>
      </c>
      <c r="B39" s="185">
        <v>5.9976529000000003</v>
      </c>
      <c r="C39" s="125">
        <v>5.7265809457746482</v>
      </c>
      <c r="D39" s="125">
        <v>5.731294632</v>
      </c>
      <c r="E39" s="185"/>
      <c r="G39" s="125"/>
      <c r="I39" s="125"/>
      <c r="J39" s="126"/>
      <c r="K39" s="126"/>
      <c r="L39" s="126"/>
      <c r="M39" s="126"/>
      <c r="N39" s="126"/>
      <c r="O39" s="126"/>
      <c r="P39" s="126"/>
      <c r="Q39" s="126"/>
      <c r="R39" s="126"/>
    </row>
    <row r="40" spans="1:18" ht="14.4">
      <c r="A40" s="124" t="s">
        <v>452</v>
      </c>
      <c r="B40" s="185">
        <v>5.0532570999999997</v>
      </c>
      <c r="C40" s="125">
        <v>5.520068211111111</v>
      </c>
      <c r="D40" s="125">
        <v>5.8271265029999997</v>
      </c>
      <c r="E40" s="185"/>
      <c r="G40" s="125"/>
      <c r="I40" s="125"/>
      <c r="J40" s="126"/>
      <c r="K40" s="126"/>
      <c r="L40" s="126"/>
      <c r="M40" s="126"/>
      <c r="N40" s="126"/>
      <c r="O40" s="126"/>
      <c r="P40" s="126"/>
      <c r="Q40" s="126"/>
      <c r="R40" s="126"/>
    </row>
    <row r="41" spans="1:18" ht="14.4">
      <c r="A41" s="124" t="s">
        <v>48</v>
      </c>
      <c r="B41" s="185">
        <v>5.5970059000000001</v>
      </c>
      <c r="C41" s="125">
        <v>5.6901950802752292</v>
      </c>
      <c r="D41" s="125">
        <v>5.9282445910000003</v>
      </c>
      <c r="E41" s="185"/>
      <c r="G41" s="125"/>
      <c r="I41" s="125"/>
      <c r="J41" s="126"/>
      <c r="K41" s="126"/>
      <c r="L41" s="126"/>
      <c r="M41" s="126"/>
      <c r="N41" s="126"/>
      <c r="O41" s="126"/>
      <c r="P41" s="126"/>
      <c r="Q41" s="126"/>
      <c r="R41" s="126"/>
    </row>
    <row r="42" spans="1:18" ht="14.4">
      <c r="A42" s="124" t="s">
        <v>47</v>
      </c>
      <c r="B42" s="185">
        <v>6.2113028999999997</v>
      </c>
      <c r="C42" s="125">
        <v>5.716404016666667</v>
      </c>
      <c r="D42" s="125">
        <v>5.9670491219999997</v>
      </c>
      <c r="E42" s="185"/>
      <c r="G42" s="125"/>
      <c r="I42" s="125"/>
      <c r="J42" s="126"/>
      <c r="K42" s="126"/>
      <c r="L42" s="126"/>
      <c r="M42" s="126"/>
      <c r="N42" s="126"/>
      <c r="O42" s="126"/>
      <c r="P42" s="126"/>
      <c r="Q42" s="126"/>
      <c r="R42" s="126"/>
    </row>
    <row r="43" spans="1:18" ht="14.4">
      <c r="A43" s="124" t="s">
        <v>41</v>
      </c>
      <c r="B43" s="185">
        <v>5.6497652</v>
      </c>
      <c r="C43" s="125">
        <v>5.8758698075949365</v>
      </c>
      <c r="D43" s="125">
        <v>6.0943140979999999</v>
      </c>
      <c r="E43" s="185"/>
      <c r="G43" s="125"/>
      <c r="I43" s="125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ht="19.5" customHeight="1">
      <c r="A44" s="124" t="s">
        <v>49</v>
      </c>
      <c r="B44" s="185">
        <v>6.0241866999999996</v>
      </c>
      <c r="C44" s="125">
        <v>6.1760460950450451</v>
      </c>
      <c r="D44" s="125">
        <v>6.1812653539999998</v>
      </c>
      <c r="E44" s="185"/>
      <c r="G44" s="125"/>
      <c r="I44" s="125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ht="40.5" customHeight="1">
      <c r="A45" s="122"/>
      <c r="B45" s="124"/>
      <c r="C45" s="123"/>
      <c r="D45" s="123"/>
      <c r="E45" s="123"/>
      <c r="F45" s="122"/>
      <c r="G45" s="122"/>
      <c r="H45" s="122"/>
      <c r="I45" s="122"/>
      <c r="J45" s="121"/>
      <c r="K45" s="121"/>
      <c r="L45" s="121"/>
      <c r="M45" s="121"/>
      <c r="N45" s="121"/>
      <c r="O45" s="121"/>
      <c r="P45" s="121"/>
      <c r="Q45" s="121"/>
      <c r="R45" s="121"/>
    </row>
    <row r="46" spans="1:18">
      <c r="A46" s="120"/>
      <c r="B46" s="120"/>
      <c r="C46" s="120"/>
      <c r="D46" s="120"/>
      <c r="E46" s="120"/>
      <c r="F46" s="120"/>
      <c r="G46" s="120"/>
      <c r="H46" s="120"/>
      <c r="I46" s="120"/>
      <c r="J46" s="119"/>
      <c r="K46" s="119"/>
      <c r="L46" s="119"/>
      <c r="M46" s="119"/>
      <c r="N46" s="119"/>
      <c r="O46" s="119"/>
      <c r="P46" s="119"/>
      <c r="Q46" s="119"/>
      <c r="R46" s="119"/>
    </row>
    <row r="47" spans="1:18" ht="13.8">
      <c r="A47" s="118"/>
      <c r="B47" s="115"/>
      <c r="C47" s="117"/>
      <c r="D47" s="115"/>
      <c r="E47" s="117"/>
      <c r="F47" s="116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</row>
    <row r="48" spans="1:18">
      <c r="A48" s="114"/>
      <c r="B48" s="114"/>
      <c r="C48" s="114"/>
      <c r="D48" s="114"/>
      <c r="E48" s="114"/>
      <c r="F48" s="114"/>
      <c r="G48" s="114"/>
      <c r="H48" s="114"/>
      <c r="I48" s="114"/>
    </row>
    <row r="91" spans="2:5">
      <c r="B91" s="113"/>
      <c r="C91" s="112"/>
      <c r="D91" s="112"/>
      <c r="E91" s="112"/>
    </row>
    <row r="132" spans="3:5">
      <c r="C132" s="111"/>
      <c r="D132" s="111"/>
      <c r="E132" s="111"/>
    </row>
  </sheetData>
  <mergeCells count="1">
    <mergeCell ref="A4:I4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2" orientation="portrait" r:id="rId1"/>
  <customProperties>
    <customPr name="ApplyLineColors" r:id="rId2"/>
    <customPr name="ApplyMarkerFillColor" r:id="rId3"/>
    <customPr name="ApplyMarkerOrder" r:id="rId4"/>
    <customPr name="ApplySpaceBars" r:id="rId5"/>
    <customPr name="ConvertLineToDiamond" r:id="rId6"/>
    <customPr name="CycleColor" r:id="rId7"/>
    <customPr name="DashStyle" r:id="rId8"/>
    <customPr name="ExcludeFonts" r:id="rId9"/>
    <customPr name="ExcludeHighValues" r:id="rId10"/>
    <customPr name="ExcludeLegend" r:id="rId11"/>
    <customPr name="FeatureRightAxis" r:id="rId12"/>
    <customPr name="Focus1OnFirstDataPointOnly" r:id="rId13"/>
    <customPr name="FocusText1" r:id="rId14"/>
    <customPr name="ForceOrientationOnXLabels" r:id="rId15"/>
    <customPr name="GraphSizeIndex" r:id="rId16"/>
    <customPr name="GraphSizeName" r:id="rId17"/>
    <customPr name="Notes" r:id="rId18"/>
    <customPr name="PageSizeIndex" r:id="rId19"/>
    <customPr name="PageSizeName" r:id="rId20"/>
    <customPr name="PaletteIndex" r:id="rId21"/>
    <customPr name="PaletteName" r:id="rId22"/>
    <customPr name="PanelLayoutIndex" r:id="rId23"/>
    <customPr name="PanelLayoutName" r:id="rId24"/>
    <customPr name="PrintArea" r:id="rId25"/>
    <customPr name="SetLegendSpaceFromGraph" r:id="rId26"/>
    <customPr name="SetTitleSpaceFromGraph" r:id="rId27"/>
    <customPr name="SinglePanel" r:id="rId28"/>
    <customPr name="Source" r:id="rId29"/>
    <customPr name="StartColorIndex" r:id="rId30"/>
    <customPr name="StartColorName" r:id="rId31"/>
    <customPr name="StyleTemplateIndex" r:id="rId32"/>
    <customPr name="StyleTemplateName" r:id="rId33"/>
    <customPr name="Title" r:id="rId34"/>
    <customPr name="XHidePrimaryMajorTickMark" r:id="rId35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86EF-8059-41B3-8F69-FF3E06332230}">
  <dimension ref="A1:G55"/>
  <sheetViews>
    <sheetView topLeftCell="A22" workbookViewId="0">
      <selection activeCell="D41" sqref="D41"/>
    </sheetView>
  </sheetViews>
  <sheetFormatPr baseColWidth="10" defaultColWidth="11.44140625" defaultRowHeight="14.4"/>
  <cols>
    <col min="1" max="16384" width="11.44140625" style="6"/>
  </cols>
  <sheetData>
    <row r="1" spans="1:7">
      <c r="A1" s="7" t="s">
        <v>473</v>
      </c>
      <c r="B1" s="7" t="s">
        <v>438</v>
      </c>
    </row>
    <row r="3" spans="1:7">
      <c r="A3" s="187"/>
      <c r="B3" s="188" t="s">
        <v>472</v>
      </c>
      <c r="C3" s="188" t="s">
        <v>471</v>
      </c>
      <c r="D3" s="189" t="s">
        <v>470</v>
      </c>
      <c r="E3" s="190" t="s">
        <v>469</v>
      </c>
      <c r="F3" s="190" t="s">
        <v>468</v>
      </c>
      <c r="G3" s="190" t="s">
        <v>467</v>
      </c>
    </row>
    <row r="4" spans="1:7">
      <c r="A4" s="191">
        <v>1972</v>
      </c>
      <c r="B4" s="190">
        <v>37.700000000000003</v>
      </c>
      <c r="C4" s="190">
        <v>0</v>
      </c>
      <c r="D4" s="189">
        <v>0</v>
      </c>
      <c r="E4" s="189">
        <v>0</v>
      </c>
      <c r="F4" s="190">
        <v>0</v>
      </c>
      <c r="G4" s="190">
        <v>13.9</v>
      </c>
    </row>
    <row r="5" spans="1:7">
      <c r="A5" s="191">
        <v>1973</v>
      </c>
      <c r="B5" s="190">
        <v>38.299999999999997</v>
      </c>
      <c r="C5" s="190">
        <v>0</v>
      </c>
      <c r="D5" s="189">
        <v>0</v>
      </c>
      <c r="E5" s="189">
        <v>0</v>
      </c>
      <c r="F5" s="190">
        <v>0</v>
      </c>
      <c r="G5" s="190">
        <v>14.6</v>
      </c>
    </row>
    <row r="6" spans="1:7">
      <c r="A6" s="191">
        <v>1974</v>
      </c>
      <c r="B6" s="190">
        <v>38.9</v>
      </c>
      <c r="C6" s="190">
        <v>0</v>
      </c>
      <c r="D6" s="189">
        <v>0</v>
      </c>
      <c r="E6" s="189">
        <v>0</v>
      </c>
      <c r="F6" s="190">
        <v>0</v>
      </c>
      <c r="G6" s="190">
        <v>14.9</v>
      </c>
    </row>
    <row r="7" spans="1:7">
      <c r="A7" s="191">
        <v>1975</v>
      </c>
      <c r="B7" s="190">
        <v>38.6</v>
      </c>
      <c r="C7" s="190">
        <v>0</v>
      </c>
      <c r="D7" s="189">
        <v>3.9</v>
      </c>
      <c r="E7" s="189">
        <v>0</v>
      </c>
      <c r="F7" s="190">
        <v>0</v>
      </c>
      <c r="G7" s="190">
        <v>10.7</v>
      </c>
    </row>
    <row r="8" spans="1:7">
      <c r="A8" s="191">
        <v>1976</v>
      </c>
      <c r="B8" s="190">
        <v>37.700000000000003</v>
      </c>
      <c r="C8" s="190">
        <v>0</v>
      </c>
      <c r="D8" s="189">
        <v>4.0999999999999996</v>
      </c>
      <c r="E8" s="189">
        <v>0</v>
      </c>
      <c r="F8" s="190">
        <v>0</v>
      </c>
      <c r="G8" s="190">
        <v>10.199999999999999</v>
      </c>
    </row>
    <row r="9" spans="1:7">
      <c r="A9" s="191">
        <v>1977</v>
      </c>
      <c r="B9" s="190">
        <v>37.9</v>
      </c>
      <c r="C9" s="190">
        <v>4.9000000000000004</v>
      </c>
      <c r="D9" s="189">
        <v>4.3</v>
      </c>
      <c r="E9" s="189">
        <v>0</v>
      </c>
      <c r="F9" s="190">
        <v>0</v>
      </c>
      <c r="G9" s="190">
        <v>6.2</v>
      </c>
    </row>
    <row r="10" spans="1:7">
      <c r="A10" s="191">
        <v>1978</v>
      </c>
      <c r="B10" s="190">
        <v>37.700000000000003</v>
      </c>
      <c r="C10" s="190">
        <v>5.0999999999999996</v>
      </c>
      <c r="D10" s="190">
        <v>4.5</v>
      </c>
      <c r="E10" s="190">
        <v>0</v>
      </c>
      <c r="F10" s="190">
        <v>0</v>
      </c>
      <c r="G10" s="190">
        <v>6.4</v>
      </c>
    </row>
    <row r="11" spans="1:7">
      <c r="A11" s="191">
        <v>1979</v>
      </c>
      <c r="B11" s="190">
        <v>37.5</v>
      </c>
      <c r="C11" s="190">
        <v>5.2</v>
      </c>
      <c r="D11" s="190">
        <v>4.9000000000000004</v>
      </c>
      <c r="E11" s="190">
        <v>0</v>
      </c>
      <c r="F11" s="190">
        <v>0</v>
      </c>
      <c r="G11" s="190">
        <v>7.6</v>
      </c>
    </row>
    <row r="12" spans="1:7">
      <c r="A12" s="191">
        <v>1980</v>
      </c>
      <c r="B12" s="190">
        <v>38.200000000000003</v>
      </c>
      <c r="C12" s="190">
        <v>5.6</v>
      </c>
      <c r="D12" s="190">
        <v>5.2</v>
      </c>
      <c r="E12" s="190">
        <v>0</v>
      </c>
      <c r="F12" s="190">
        <v>0</v>
      </c>
      <c r="G12" s="190">
        <v>7.8</v>
      </c>
    </row>
    <row r="13" spans="1:7">
      <c r="A13" s="191">
        <v>1981</v>
      </c>
      <c r="B13" s="190">
        <v>37.9</v>
      </c>
      <c r="C13" s="190">
        <v>6.1</v>
      </c>
      <c r="D13" s="190">
        <v>5.2</v>
      </c>
      <c r="E13" s="190">
        <v>0</v>
      </c>
      <c r="F13" s="190">
        <v>0</v>
      </c>
      <c r="G13" s="190">
        <v>8</v>
      </c>
    </row>
    <row r="14" spans="1:7">
      <c r="A14" s="191">
        <v>1982</v>
      </c>
      <c r="B14" s="190">
        <v>37</v>
      </c>
      <c r="C14" s="190">
        <v>6.3</v>
      </c>
      <c r="D14" s="190">
        <v>5.5</v>
      </c>
      <c r="E14" s="190">
        <v>0</v>
      </c>
      <c r="F14" s="190">
        <v>0</v>
      </c>
      <c r="G14" s="190">
        <v>8.1999999999999993</v>
      </c>
    </row>
    <row r="15" spans="1:7">
      <c r="A15" s="191">
        <v>1983</v>
      </c>
      <c r="B15" s="190">
        <v>35.9</v>
      </c>
      <c r="C15" s="190">
        <v>6.5</v>
      </c>
      <c r="D15" s="190">
        <v>5.9</v>
      </c>
      <c r="E15" s="190">
        <v>0</v>
      </c>
      <c r="F15" s="190">
        <v>0</v>
      </c>
      <c r="G15" s="190">
        <v>8.1999999999999993</v>
      </c>
    </row>
    <row r="16" spans="1:7">
      <c r="A16" s="190">
        <v>1984</v>
      </c>
      <c r="B16" s="190">
        <v>35.9</v>
      </c>
      <c r="C16" s="190">
        <v>6.5</v>
      </c>
      <c r="D16" s="190">
        <v>6.1</v>
      </c>
      <c r="E16" s="190">
        <v>0</v>
      </c>
      <c r="F16" s="190">
        <v>0</v>
      </c>
      <c r="G16" s="190">
        <v>8.4</v>
      </c>
    </row>
    <row r="17" spans="1:7">
      <c r="A17" s="191">
        <v>1985</v>
      </c>
      <c r="B17" s="190">
        <v>35.1</v>
      </c>
      <c r="C17" s="190">
        <v>6.6</v>
      </c>
      <c r="D17" s="190">
        <v>6.4</v>
      </c>
      <c r="E17" s="190">
        <v>0</v>
      </c>
      <c r="F17" s="190">
        <v>0</v>
      </c>
      <c r="G17" s="190">
        <v>8.4</v>
      </c>
    </row>
    <row r="18" spans="1:7">
      <c r="A18" s="190">
        <v>1986</v>
      </c>
      <c r="B18" s="190">
        <v>34.799999999999997</v>
      </c>
      <c r="C18" s="190">
        <v>6.6</v>
      </c>
      <c r="D18" s="190">
        <v>6.5</v>
      </c>
      <c r="E18" s="190">
        <v>0</v>
      </c>
      <c r="F18" s="190">
        <v>0</v>
      </c>
      <c r="G18" s="190">
        <v>8.1</v>
      </c>
    </row>
    <row r="19" spans="1:7">
      <c r="A19" s="191">
        <v>1987</v>
      </c>
      <c r="B19" s="190">
        <v>33.200000000000003</v>
      </c>
      <c r="C19" s="190">
        <v>6.7</v>
      </c>
      <c r="D19" s="190">
        <v>6.5</v>
      </c>
      <c r="E19" s="190">
        <v>0</v>
      </c>
      <c r="F19" s="190">
        <v>0</v>
      </c>
      <c r="G19" s="190">
        <v>8.3000000000000007</v>
      </c>
    </row>
    <row r="20" spans="1:7">
      <c r="A20" s="190">
        <v>1988</v>
      </c>
      <c r="B20" s="190">
        <v>32.799999999999997</v>
      </c>
      <c r="C20" s="190">
        <v>8.4</v>
      </c>
      <c r="D20" s="190">
        <v>6.6</v>
      </c>
      <c r="E20" s="190">
        <v>0</v>
      </c>
      <c r="F20" s="190">
        <v>0</v>
      </c>
      <c r="G20" s="190">
        <v>7.3</v>
      </c>
    </row>
    <row r="21" spans="1:7">
      <c r="A21" s="191">
        <v>1989</v>
      </c>
      <c r="B21" s="190">
        <v>33.4</v>
      </c>
      <c r="C21" s="190">
        <v>8.9</v>
      </c>
      <c r="D21" s="190">
        <v>9.1</v>
      </c>
      <c r="E21" s="190">
        <v>0</v>
      </c>
      <c r="F21" s="190">
        <v>0</v>
      </c>
      <c r="G21" s="190">
        <v>5.5</v>
      </c>
    </row>
    <row r="22" spans="1:7">
      <c r="A22" s="190">
        <v>1990</v>
      </c>
      <c r="B22" s="190">
        <v>33.4</v>
      </c>
      <c r="C22" s="190">
        <v>9.1</v>
      </c>
      <c r="D22" s="190">
        <v>9.3000000000000007</v>
      </c>
      <c r="E22" s="190">
        <v>0</v>
      </c>
      <c r="F22" s="190">
        <v>0</v>
      </c>
      <c r="G22" s="190">
        <v>5.5</v>
      </c>
    </row>
    <row r="23" spans="1:7">
      <c r="A23" s="191">
        <v>1991</v>
      </c>
      <c r="B23" s="190">
        <v>32.4</v>
      </c>
      <c r="C23" s="190">
        <v>9.3000000000000007</v>
      </c>
      <c r="D23" s="190">
        <v>9.6999999999999993</v>
      </c>
      <c r="E23" s="190">
        <v>0</v>
      </c>
      <c r="F23" s="190">
        <v>0</v>
      </c>
      <c r="G23" s="190">
        <v>5.5</v>
      </c>
    </row>
    <row r="24" spans="1:7">
      <c r="A24" s="190">
        <v>1992</v>
      </c>
      <c r="B24" s="190">
        <v>31.9</v>
      </c>
      <c r="C24" s="190">
        <v>9.5</v>
      </c>
      <c r="D24" s="190">
        <v>9.9</v>
      </c>
      <c r="E24" s="190">
        <v>0</v>
      </c>
      <c r="F24" s="190">
        <v>0</v>
      </c>
      <c r="G24" s="190">
        <v>5.6</v>
      </c>
    </row>
    <row r="25" spans="1:7">
      <c r="A25" s="191">
        <v>1993</v>
      </c>
      <c r="B25" s="190">
        <v>31.3</v>
      </c>
      <c r="C25" s="190">
        <v>9.6999999999999993</v>
      </c>
      <c r="D25" s="190">
        <v>10.1</v>
      </c>
      <c r="E25" s="190">
        <v>0</v>
      </c>
      <c r="F25" s="190">
        <v>0</v>
      </c>
      <c r="G25" s="190">
        <v>5.8</v>
      </c>
    </row>
    <row r="26" spans="1:7">
      <c r="A26" s="190">
        <v>1994</v>
      </c>
      <c r="B26" s="190">
        <v>31</v>
      </c>
      <c r="C26" s="190">
        <v>9.6999999999999993</v>
      </c>
      <c r="D26" s="190">
        <v>10.199999999999999</v>
      </c>
      <c r="E26" s="190">
        <v>0</v>
      </c>
      <c r="F26" s="190">
        <v>0</v>
      </c>
      <c r="G26" s="190">
        <v>6</v>
      </c>
    </row>
    <row r="27" spans="1:7">
      <c r="A27" s="191">
        <v>1995</v>
      </c>
      <c r="B27" s="190">
        <v>30.9</v>
      </c>
      <c r="C27" s="190">
        <v>9.6</v>
      </c>
      <c r="D27" s="190">
        <v>10.1</v>
      </c>
      <c r="E27" s="190">
        <v>0</v>
      </c>
      <c r="F27" s="190">
        <v>0</v>
      </c>
      <c r="G27" s="190">
        <v>5.8</v>
      </c>
    </row>
    <row r="28" spans="1:7">
      <c r="A28" s="190">
        <v>1996</v>
      </c>
      <c r="B28" s="190">
        <v>30.2</v>
      </c>
      <c r="C28" s="190">
        <v>9.4</v>
      </c>
      <c r="D28" s="190">
        <v>10.199999999999999</v>
      </c>
      <c r="E28" s="190">
        <v>0</v>
      </c>
      <c r="F28" s="190">
        <v>0</v>
      </c>
      <c r="G28" s="190">
        <v>5.7</v>
      </c>
    </row>
    <row r="29" spans="1:7">
      <c r="A29" s="191">
        <v>1997</v>
      </c>
      <c r="B29" s="190">
        <v>29.4</v>
      </c>
      <c r="C29" s="190">
        <v>9.4</v>
      </c>
      <c r="D29" s="190">
        <v>9.6999999999999993</v>
      </c>
      <c r="E29" s="190">
        <v>0</v>
      </c>
      <c r="F29" s="190">
        <v>0.5</v>
      </c>
      <c r="G29" s="190">
        <v>5.5</v>
      </c>
    </row>
    <row r="30" spans="1:7">
      <c r="A30" s="190">
        <v>1998</v>
      </c>
      <c r="B30" s="190">
        <v>29.3</v>
      </c>
      <c r="C30" s="190">
        <v>9.3000000000000007</v>
      </c>
      <c r="D30" s="190">
        <v>6.5</v>
      </c>
      <c r="E30" s="190">
        <v>0</v>
      </c>
      <c r="F30" s="190">
        <v>3.8</v>
      </c>
      <c r="G30" s="190">
        <v>5.8</v>
      </c>
    </row>
    <row r="31" spans="1:7">
      <c r="A31" s="191">
        <v>1999</v>
      </c>
      <c r="B31" s="190">
        <v>28.5</v>
      </c>
      <c r="C31" s="190">
        <v>9.3000000000000007</v>
      </c>
      <c r="D31" s="190">
        <v>4.5</v>
      </c>
      <c r="E31" s="190">
        <v>0</v>
      </c>
      <c r="F31" s="190">
        <v>4</v>
      </c>
      <c r="G31" s="190">
        <v>7.5</v>
      </c>
    </row>
    <row r="32" spans="1:7">
      <c r="A32" s="190">
        <v>2000</v>
      </c>
      <c r="B32" s="190">
        <v>27</v>
      </c>
      <c r="C32" s="190">
        <v>9.1999999999999993</v>
      </c>
      <c r="D32" s="190">
        <v>4.5</v>
      </c>
      <c r="E32" s="190">
        <v>0</v>
      </c>
      <c r="F32" s="190">
        <v>4</v>
      </c>
      <c r="G32" s="190">
        <v>8.1</v>
      </c>
    </row>
    <row r="33" spans="1:7">
      <c r="A33" s="191">
        <v>2001</v>
      </c>
      <c r="B33" s="190">
        <v>26.2</v>
      </c>
      <c r="C33" s="190">
        <v>7.5</v>
      </c>
      <c r="D33" s="190"/>
      <c r="E33" s="190">
        <v>8.3000000000000007</v>
      </c>
      <c r="F33" s="190">
        <v>4.2</v>
      </c>
      <c r="G33" s="190">
        <v>5.6</v>
      </c>
    </row>
    <row r="34" spans="1:7">
      <c r="A34" s="190">
        <v>2002</v>
      </c>
      <c r="B34" s="190">
        <v>26.1</v>
      </c>
      <c r="C34" s="190">
        <v>7.4</v>
      </c>
      <c r="D34" s="190"/>
      <c r="E34" s="190">
        <v>8.4</v>
      </c>
      <c r="F34" s="190">
        <v>4.4000000000000004</v>
      </c>
      <c r="G34" s="190">
        <v>5.7</v>
      </c>
    </row>
    <row r="35" spans="1:7">
      <c r="A35" s="191">
        <v>2003</v>
      </c>
      <c r="B35" s="190">
        <v>27.2</v>
      </c>
      <c r="C35" s="190">
        <v>7.4</v>
      </c>
      <c r="D35" s="190"/>
      <c r="E35" s="190">
        <v>8.5</v>
      </c>
      <c r="F35" s="190">
        <v>4.5999999999999996</v>
      </c>
      <c r="G35" s="190">
        <v>3.8</v>
      </c>
    </row>
    <row r="36" spans="1:7">
      <c r="A36" s="190">
        <v>2004</v>
      </c>
      <c r="B36" s="190">
        <v>26.7</v>
      </c>
      <c r="C36" s="190">
        <v>7.2</v>
      </c>
      <c r="D36" s="190"/>
      <c r="E36" s="190">
        <v>8.8000000000000007</v>
      </c>
      <c r="F36" s="190">
        <v>4.8</v>
      </c>
      <c r="G36" s="190">
        <v>3.8</v>
      </c>
    </row>
    <row r="37" spans="1:7">
      <c r="A37" s="191">
        <v>2005</v>
      </c>
      <c r="B37" s="190">
        <v>26.1</v>
      </c>
      <c r="C37" s="190">
        <v>7.2</v>
      </c>
      <c r="D37" s="190"/>
      <c r="E37" s="190">
        <v>9.6</v>
      </c>
      <c r="F37" s="190">
        <v>4.2</v>
      </c>
      <c r="G37" s="190">
        <v>3.9</v>
      </c>
    </row>
    <row r="38" spans="1:7">
      <c r="A38" s="190">
        <v>2006</v>
      </c>
      <c r="B38" s="190">
        <v>26</v>
      </c>
      <c r="C38" s="190">
        <v>7.2</v>
      </c>
      <c r="D38" s="190"/>
      <c r="E38" s="190">
        <v>9.6999999999999993</v>
      </c>
      <c r="F38" s="190">
        <v>4.3</v>
      </c>
      <c r="G38" s="190">
        <v>3.9</v>
      </c>
    </row>
    <row r="39" spans="1:7">
      <c r="A39" s="191">
        <v>2007</v>
      </c>
      <c r="B39" s="190">
        <v>25.4</v>
      </c>
      <c r="C39" s="190">
        <v>7</v>
      </c>
      <c r="D39" s="190"/>
      <c r="E39" s="190">
        <v>9.5</v>
      </c>
      <c r="F39" s="190">
        <v>4.4000000000000004</v>
      </c>
      <c r="G39" s="190">
        <v>3.8</v>
      </c>
    </row>
    <row r="40" spans="1:7">
      <c r="A40" s="190">
        <v>2008</v>
      </c>
      <c r="B40" s="190">
        <v>25.3</v>
      </c>
      <c r="C40" s="190">
        <v>6.9</v>
      </c>
      <c r="D40" s="190"/>
      <c r="E40" s="190">
        <v>9.5</v>
      </c>
      <c r="F40" s="190">
        <v>4.4000000000000004</v>
      </c>
      <c r="G40" s="190">
        <v>3.8</v>
      </c>
    </row>
    <row r="41" spans="1:7">
      <c r="A41" s="191">
        <v>2009</v>
      </c>
      <c r="B41" s="190">
        <v>25.1</v>
      </c>
      <c r="C41" s="190">
        <v>6.9</v>
      </c>
      <c r="D41" s="190"/>
      <c r="E41" s="190">
        <v>9.6999999999999993</v>
      </c>
      <c r="F41" s="190">
        <v>4.5999999999999996</v>
      </c>
      <c r="G41" s="190">
        <v>3.9</v>
      </c>
    </row>
    <row r="42" spans="1:7">
      <c r="A42" s="190">
        <v>2010</v>
      </c>
      <c r="B42" s="190">
        <v>25</v>
      </c>
      <c r="C42" s="190">
        <v>6.9</v>
      </c>
      <c r="D42" s="190"/>
      <c r="E42" s="190">
        <v>9.8000000000000007</v>
      </c>
      <c r="F42" s="190">
        <v>4.9000000000000004</v>
      </c>
      <c r="G42" s="190">
        <v>3.9</v>
      </c>
    </row>
    <row r="43" spans="1:7">
      <c r="A43" s="191">
        <v>2011</v>
      </c>
      <c r="B43" s="190">
        <v>24.7</v>
      </c>
      <c r="C43" s="190">
        <v>6.7</v>
      </c>
      <c r="D43" s="190"/>
      <c r="E43" s="190">
        <v>9.6999999999999993</v>
      </c>
      <c r="F43" s="190">
        <v>4.9000000000000004</v>
      </c>
      <c r="G43" s="190">
        <v>3.8</v>
      </c>
    </row>
    <row r="44" spans="1:7">
      <c r="A44" s="191">
        <v>2012</v>
      </c>
      <c r="B44" s="190">
        <v>24.7</v>
      </c>
      <c r="C44" s="190">
        <v>6.8</v>
      </c>
      <c r="D44" s="190"/>
      <c r="E44" s="190">
        <v>9.8000000000000007</v>
      </c>
      <c r="F44" s="190">
        <v>5.0999999999999996</v>
      </c>
      <c r="G44" s="190">
        <v>3.8</v>
      </c>
    </row>
    <row r="45" spans="1:7">
      <c r="A45" s="191">
        <v>2013</v>
      </c>
      <c r="B45" s="190">
        <v>24.4</v>
      </c>
      <c r="C45" s="190">
        <v>6.5</v>
      </c>
      <c r="D45" s="190"/>
      <c r="E45" s="190">
        <v>10</v>
      </c>
      <c r="F45" s="190">
        <v>5.2</v>
      </c>
      <c r="G45" s="190">
        <v>3.8</v>
      </c>
    </row>
    <row r="46" spans="1:7">
      <c r="A46" s="191">
        <v>2014</v>
      </c>
      <c r="B46" s="190">
        <v>24.5</v>
      </c>
      <c r="C46" s="190">
        <v>6.4</v>
      </c>
      <c r="D46" s="190"/>
      <c r="E46" s="190">
        <v>10.1</v>
      </c>
      <c r="F46" s="190">
        <v>5.3</v>
      </c>
      <c r="G46" s="190">
        <v>3.9</v>
      </c>
    </row>
    <row r="47" spans="1:7">
      <c r="A47" s="191">
        <v>2015</v>
      </c>
      <c r="B47" s="190">
        <v>24.1</v>
      </c>
      <c r="C47" s="190">
        <v>6.3</v>
      </c>
      <c r="D47" s="190"/>
      <c r="E47" s="190">
        <v>10.1</v>
      </c>
      <c r="F47" s="190">
        <v>5.5</v>
      </c>
      <c r="G47" s="190">
        <v>3.8</v>
      </c>
    </row>
    <row r="48" spans="1:7">
      <c r="A48" s="190">
        <v>2016</v>
      </c>
      <c r="B48" s="190">
        <v>24</v>
      </c>
      <c r="C48" s="190">
        <v>6.1</v>
      </c>
      <c r="D48" s="190"/>
      <c r="E48" s="190">
        <v>10.3</v>
      </c>
      <c r="F48" s="190">
        <v>5.7</v>
      </c>
      <c r="G48" s="190">
        <v>4</v>
      </c>
    </row>
    <row r="49" spans="1:7">
      <c r="A49" s="190">
        <v>2017</v>
      </c>
      <c r="B49" s="190">
        <v>24</v>
      </c>
      <c r="C49" s="190">
        <v>6.1</v>
      </c>
      <c r="D49" s="190"/>
      <c r="E49" s="190">
        <v>10.4</v>
      </c>
      <c r="F49" s="190">
        <v>5.9</v>
      </c>
      <c r="G49" s="190">
        <v>3.7</v>
      </c>
    </row>
    <row r="50" spans="1:7">
      <c r="A50" s="190">
        <v>2018</v>
      </c>
      <c r="B50" s="190">
        <v>23.7</v>
      </c>
      <c r="C50" s="190">
        <v>6</v>
      </c>
      <c r="D50" s="190"/>
      <c r="E50" s="190">
        <v>10.3</v>
      </c>
      <c r="F50" s="190">
        <v>5.9</v>
      </c>
      <c r="G50" s="190">
        <v>3.7</v>
      </c>
    </row>
    <row r="51" spans="1:7">
      <c r="A51" s="190">
        <v>2019</v>
      </c>
      <c r="B51" s="190">
        <v>23.9</v>
      </c>
      <c r="C51" s="190">
        <v>6</v>
      </c>
      <c r="D51" s="190"/>
      <c r="E51" s="190">
        <v>10.4</v>
      </c>
      <c r="F51" s="190">
        <v>6.2</v>
      </c>
      <c r="G51" s="190">
        <v>3.7</v>
      </c>
    </row>
    <row r="52" spans="1:7">
      <c r="A52" s="190">
        <v>2020</v>
      </c>
      <c r="B52" s="190">
        <v>24.2</v>
      </c>
      <c r="C52" s="190">
        <v>6</v>
      </c>
      <c r="D52" s="190"/>
      <c r="E52" s="190">
        <v>10.6</v>
      </c>
      <c r="F52" s="190">
        <v>6.6</v>
      </c>
      <c r="G52" s="190">
        <v>3.8</v>
      </c>
    </row>
    <row r="53" spans="1:7">
      <c r="A53" s="190">
        <v>2021</v>
      </c>
      <c r="B53" s="190">
        <v>23.6</v>
      </c>
      <c r="C53" s="190">
        <v>5.7</v>
      </c>
      <c r="D53" s="190"/>
      <c r="E53" s="190">
        <v>10.3</v>
      </c>
      <c r="F53" s="190">
        <v>6.7</v>
      </c>
      <c r="G53" s="190">
        <v>3.8</v>
      </c>
    </row>
    <row r="54" spans="1:7">
      <c r="A54" s="190">
        <v>2022</v>
      </c>
      <c r="B54" s="190">
        <v>23.4</v>
      </c>
      <c r="C54" s="190">
        <v>5.6</v>
      </c>
      <c r="D54" s="190"/>
      <c r="E54" s="190">
        <v>10.199999999999999</v>
      </c>
      <c r="F54" s="190">
        <v>6.9</v>
      </c>
      <c r="G54" s="190">
        <v>3.8</v>
      </c>
    </row>
    <row r="55" spans="1:7">
      <c r="A55" s="179"/>
      <c r="B55" s="179"/>
      <c r="C55" s="179"/>
      <c r="D55" s="179"/>
      <c r="E55" s="179"/>
      <c r="F55" s="179"/>
      <c r="G55" s="17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3011-8CE9-4490-AB27-1B1BF053EBB9}">
  <dimension ref="A1:BJ12"/>
  <sheetViews>
    <sheetView workbookViewId="0">
      <selection activeCell="E18" sqref="E18"/>
    </sheetView>
  </sheetViews>
  <sheetFormatPr baseColWidth="10" defaultColWidth="11.44140625" defaultRowHeight="14.4"/>
  <cols>
    <col min="1" max="16384" width="11.44140625" style="6"/>
  </cols>
  <sheetData>
    <row r="1" spans="1:62">
      <c r="A1" s="196" t="s">
        <v>475</v>
      </c>
      <c r="B1" s="7" t="s">
        <v>474</v>
      </c>
    </row>
    <row r="3" spans="1:62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</row>
    <row r="4" spans="1:62">
      <c r="A4" s="137"/>
      <c r="B4" s="137">
        <v>1960</v>
      </c>
      <c r="C4" s="137">
        <v>1961</v>
      </c>
      <c r="D4" s="137">
        <v>1962</v>
      </c>
      <c r="E4" s="137">
        <v>1963</v>
      </c>
      <c r="F4" s="137">
        <v>1964</v>
      </c>
      <c r="G4" s="137">
        <v>1965</v>
      </c>
      <c r="H4" s="137">
        <v>1966</v>
      </c>
      <c r="I4" s="137">
        <v>1967</v>
      </c>
      <c r="J4" s="137">
        <v>1968</v>
      </c>
      <c r="K4" s="137">
        <v>1969</v>
      </c>
      <c r="L4" s="137">
        <v>1970</v>
      </c>
      <c r="M4" s="137">
        <v>1971</v>
      </c>
      <c r="N4" s="137">
        <v>1972</v>
      </c>
      <c r="O4" s="137">
        <v>1973</v>
      </c>
      <c r="P4" s="137">
        <v>1974</v>
      </c>
      <c r="Q4" s="137">
        <v>1975</v>
      </c>
      <c r="R4" s="137">
        <v>1976</v>
      </c>
      <c r="S4" s="137">
        <v>1977</v>
      </c>
      <c r="T4" s="137">
        <v>1978</v>
      </c>
      <c r="U4" s="137">
        <v>1979</v>
      </c>
      <c r="V4" s="137">
        <v>1980</v>
      </c>
      <c r="W4" s="137">
        <v>1981</v>
      </c>
      <c r="X4" s="137">
        <v>1982</v>
      </c>
      <c r="Y4" s="137">
        <v>1983</v>
      </c>
      <c r="Z4" s="137">
        <v>1984</v>
      </c>
      <c r="AA4" s="137">
        <v>1985</v>
      </c>
      <c r="AB4" s="137">
        <v>1986</v>
      </c>
      <c r="AC4" s="137">
        <v>1987</v>
      </c>
      <c r="AD4" s="137">
        <v>1988</v>
      </c>
      <c r="AE4" s="137">
        <v>1989</v>
      </c>
      <c r="AF4" s="137">
        <v>1990</v>
      </c>
      <c r="AG4" s="137">
        <v>1991</v>
      </c>
      <c r="AH4" s="137">
        <v>1992</v>
      </c>
      <c r="AI4" s="137">
        <v>1993</v>
      </c>
      <c r="AJ4" s="137">
        <v>1994</v>
      </c>
      <c r="AK4" s="137">
        <v>1995</v>
      </c>
      <c r="AL4" s="137">
        <v>1996</v>
      </c>
      <c r="AM4" s="137">
        <v>1997</v>
      </c>
      <c r="AN4" s="137">
        <v>1998</v>
      </c>
      <c r="AO4" s="137">
        <v>1999</v>
      </c>
      <c r="AP4" s="137">
        <v>2000</v>
      </c>
      <c r="AQ4" s="137">
        <v>2001</v>
      </c>
      <c r="AR4" s="137">
        <v>2002</v>
      </c>
      <c r="AS4" s="137">
        <v>2003</v>
      </c>
      <c r="AT4" s="137">
        <v>2004</v>
      </c>
      <c r="AU4" s="137">
        <v>2005</v>
      </c>
      <c r="AV4" s="137">
        <v>2006</v>
      </c>
      <c r="AW4" s="137">
        <v>2007</v>
      </c>
      <c r="AX4" s="137">
        <v>2008</v>
      </c>
      <c r="AY4" s="137">
        <v>2009</v>
      </c>
      <c r="AZ4" s="137">
        <v>2010</v>
      </c>
      <c r="BA4" s="137">
        <v>2011</v>
      </c>
      <c r="BB4" s="137">
        <v>2012</v>
      </c>
      <c r="BC4" s="137">
        <v>2013</v>
      </c>
      <c r="BD4" s="137">
        <v>2014</v>
      </c>
      <c r="BE4" s="137">
        <v>2015</v>
      </c>
      <c r="BF4" s="137">
        <v>2016</v>
      </c>
      <c r="BG4" s="137">
        <v>2017</v>
      </c>
      <c r="BH4" s="137">
        <v>2018</v>
      </c>
      <c r="BI4" s="4"/>
      <c r="BJ4" s="4"/>
    </row>
    <row r="5" spans="1:62">
      <c r="A5" s="138" t="s">
        <v>47</v>
      </c>
      <c r="B5" s="138">
        <v>59.00573</v>
      </c>
      <c r="C5" s="138">
        <v>59.3277</v>
      </c>
      <c r="D5" s="138">
        <v>59.49615</v>
      </c>
      <c r="E5" s="138">
        <v>59.766640000000002</v>
      </c>
      <c r="F5" s="138">
        <v>60.11533</v>
      </c>
      <c r="G5" s="138">
        <v>59.894590000000001</v>
      </c>
      <c r="H5" s="138">
        <v>58.757539999999999</v>
      </c>
      <c r="I5" s="138">
        <v>59.014360000000003</v>
      </c>
      <c r="J5" s="138">
        <v>59.496400000000001</v>
      </c>
      <c r="K5" s="138">
        <v>60.977179999999997</v>
      </c>
      <c r="L5" s="138">
        <v>60.819200000000002</v>
      </c>
      <c r="M5" s="138">
        <v>62.586359999999999</v>
      </c>
      <c r="N5" s="138">
        <v>61.977699999999999</v>
      </c>
      <c r="O5" s="138">
        <v>62.535469999999997</v>
      </c>
      <c r="P5" s="138">
        <v>64.006550000000004</v>
      </c>
      <c r="Q5" s="138">
        <v>68.867829999999998</v>
      </c>
      <c r="R5" s="138">
        <v>72.996350000000007</v>
      </c>
      <c r="S5" s="138">
        <v>74.057230000000004</v>
      </c>
      <c r="T5" s="138">
        <v>77.838530000000006</v>
      </c>
      <c r="U5" s="138">
        <v>76.610010000000003</v>
      </c>
      <c r="V5" s="138">
        <v>77.953909999999993</v>
      </c>
      <c r="W5" s="138">
        <v>79.851709999999997</v>
      </c>
      <c r="X5" s="138">
        <v>79.776859999999999</v>
      </c>
      <c r="Y5" s="138">
        <v>80.124679999999998</v>
      </c>
      <c r="Z5" s="138">
        <v>78.577719999999999</v>
      </c>
      <c r="AA5" s="138">
        <v>77.546710000000004</v>
      </c>
      <c r="AB5" s="138">
        <v>76.908609999999996</v>
      </c>
      <c r="AC5" s="138">
        <v>75.212540000000004</v>
      </c>
      <c r="AD5" s="138">
        <v>73.09254</v>
      </c>
      <c r="AE5" s="138">
        <v>74.874949999999998</v>
      </c>
      <c r="AF5" s="138">
        <v>74.603710000000007</v>
      </c>
      <c r="AG5" s="138">
        <v>75.010639999999995</v>
      </c>
      <c r="AH5" s="138">
        <v>74.892719999999997</v>
      </c>
      <c r="AI5" s="138">
        <v>76.718909999999994</v>
      </c>
      <c r="AJ5" s="138">
        <v>76.508920000000003</v>
      </c>
      <c r="AK5" s="138">
        <v>75.859729999999999</v>
      </c>
      <c r="AL5" s="138">
        <v>76.369900000000001</v>
      </c>
      <c r="AM5" s="138">
        <v>75.184709999999995</v>
      </c>
      <c r="AN5" s="138">
        <v>76.274289999999993</v>
      </c>
      <c r="AO5" s="138">
        <v>74.563879999999997</v>
      </c>
      <c r="AP5" s="138">
        <v>74.455780000000004</v>
      </c>
      <c r="AQ5" s="138">
        <v>73.916899999999998</v>
      </c>
      <c r="AR5" s="138">
        <v>73.594220000000007</v>
      </c>
      <c r="AS5" s="138">
        <v>72.392970000000005</v>
      </c>
      <c r="AT5" s="138">
        <v>71.664820000000006</v>
      </c>
      <c r="AU5" s="138">
        <v>71.505610000000004</v>
      </c>
      <c r="AV5" s="138">
        <v>69.691400000000002</v>
      </c>
      <c r="AW5" s="138">
        <v>69.0227</v>
      </c>
      <c r="AX5" s="138">
        <v>67.622709999999998</v>
      </c>
      <c r="AY5" s="138">
        <v>67.684269999999998</v>
      </c>
      <c r="AZ5" s="138">
        <v>67.205539999999999</v>
      </c>
      <c r="BA5" s="138">
        <v>67.791589999999999</v>
      </c>
      <c r="BB5" s="138">
        <v>68.002629999999996</v>
      </c>
      <c r="BC5" s="138">
        <v>67.751170000000002</v>
      </c>
      <c r="BD5" s="138">
        <v>67.398049999999998</v>
      </c>
      <c r="BE5" s="138">
        <v>67.065929999999994</v>
      </c>
      <c r="BF5" s="138">
        <v>65.50909</v>
      </c>
      <c r="BG5" s="138">
        <v>66.082239999999999</v>
      </c>
      <c r="BH5" s="138">
        <v>66.489900000000006</v>
      </c>
      <c r="BI5" s="4"/>
      <c r="BJ5" s="4"/>
    </row>
    <row r="6" spans="1:62">
      <c r="A6" s="138" t="s">
        <v>44</v>
      </c>
      <c r="B6" s="138">
        <v>31.8794</v>
      </c>
      <c r="C6" s="138">
        <v>31.502739999999999</v>
      </c>
      <c r="D6" s="138">
        <v>35.295650000000002</v>
      </c>
      <c r="E6" s="138">
        <v>37.448880000000003</v>
      </c>
      <c r="F6" s="138">
        <v>37.022210000000001</v>
      </c>
      <c r="G6" s="138">
        <v>38.314439999999998</v>
      </c>
      <c r="H6" s="138">
        <v>39.565959999999997</v>
      </c>
      <c r="I6" s="138">
        <v>40.694679999999998</v>
      </c>
      <c r="J6" s="138">
        <v>41.015250000000002</v>
      </c>
      <c r="K6" s="138">
        <v>47.527769999999997</v>
      </c>
      <c r="L6" s="138">
        <v>51.317830000000001</v>
      </c>
      <c r="M6" s="138">
        <v>56.195030000000003</v>
      </c>
      <c r="N6" s="138">
        <v>60.80012</v>
      </c>
      <c r="O6" s="138">
        <v>61.373779999999996</v>
      </c>
      <c r="P6" s="138">
        <v>63.199120000000001</v>
      </c>
      <c r="Q6" s="138">
        <v>65.282520000000005</v>
      </c>
      <c r="R6" s="138">
        <v>67.568600000000004</v>
      </c>
      <c r="S6" s="138">
        <v>66.693659999999994</v>
      </c>
      <c r="T6" s="138">
        <v>66.949259999999995</v>
      </c>
      <c r="U6" s="138">
        <v>68.0959</v>
      </c>
      <c r="V6" s="138">
        <v>69.376379999999997</v>
      </c>
      <c r="W6" s="138">
        <v>68.331410000000005</v>
      </c>
      <c r="X6" s="138">
        <v>68.412729999999996</v>
      </c>
      <c r="Y6" s="138">
        <v>68.798599999999993</v>
      </c>
      <c r="Z6" s="138">
        <v>68.971369999999993</v>
      </c>
      <c r="AA6" s="138">
        <v>69.063640000000007</v>
      </c>
      <c r="AB6" s="138">
        <v>69.988690000000005</v>
      </c>
      <c r="AC6" s="138">
        <v>70.642989999999998</v>
      </c>
      <c r="AD6" s="138">
        <v>72.293329999999997</v>
      </c>
      <c r="AE6" s="138">
        <v>73.169330000000002</v>
      </c>
      <c r="AF6" s="138">
        <v>72.776949999999999</v>
      </c>
      <c r="AG6" s="138">
        <v>75.883080000000007</v>
      </c>
      <c r="AH6" s="138">
        <v>78.905140000000003</v>
      </c>
      <c r="AI6" s="138">
        <v>81.22372</v>
      </c>
      <c r="AJ6" s="138">
        <v>80.776809999999998</v>
      </c>
      <c r="AK6" s="138">
        <v>80.844700000000003</v>
      </c>
      <c r="AL6" s="138">
        <v>80.804649999999995</v>
      </c>
      <c r="AM6" s="138">
        <v>80.650329999999997</v>
      </c>
      <c r="AN6" s="138">
        <v>78.406210000000002</v>
      </c>
      <c r="AO6" s="138">
        <v>75.804730000000006</v>
      </c>
      <c r="AP6" s="138">
        <v>74.307040000000001</v>
      </c>
      <c r="AQ6" s="138">
        <v>75.107429999999994</v>
      </c>
      <c r="AR6" s="138">
        <v>73.680959999999999</v>
      </c>
      <c r="AS6" s="138">
        <v>72.744730000000004</v>
      </c>
      <c r="AT6" s="138">
        <v>72.010159999999999</v>
      </c>
      <c r="AU6" s="138">
        <v>71.105609999999999</v>
      </c>
      <c r="AV6" s="138">
        <v>70.610209999999995</v>
      </c>
      <c r="AW6" s="138">
        <v>70.648830000000004</v>
      </c>
      <c r="AX6" s="138">
        <v>69.896929999999998</v>
      </c>
      <c r="AY6" s="138">
        <v>71.062929999999994</v>
      </c>
      <c r="AZ6" s="138">
        <v>70.259309999999999</v>
      </c>
      <c r="BA6" s="138">
        <v>69.523489999999995</v>
      </c>
      <c r="BB6" s="138">
        <v>69.637270000000001</v>
      </c>
      <c r="BC6" s="138">
        <v>68.233829999999998</v>
      </c>
      <c r="BD6" s="138">
        <v>67.603949999999998</v>
      </c>
      <c r="BE6" s="138">
        <v>66.421270000000007</v>
      </c>
      <c r="BF6" s="138">
        <v>64.919730000000001</v>
      </c>
      <c r="BG6" s="138">
        <v>62.17794</v>
      </c>
      <c r="BH6" s="138">
        <v>60.338909999999998</v>
      </c>
      <c r="BI6" s="4"/>
      <c r="BJ6" s="4"/>
    </row>
    <row r="7" spans="1:62">
      <c r="A7" s="138" t="s">
        <v>41</v>
      </c>
      <c r="B7" s="138">
        <v>60.020350000000001</v>
      </c>
      <c r="C7" s="138">
        <v>60.81503</v>
      </c>
      <c r="D7" s="138">
        <v>59.837069999999997</v>
      </c>
      <c r="E7" s="138">
        <v>60.05641</v>
      </c>
      <c r="F7" s="138">
        <v>59.254719999999999</v>
      </c>
      <c r="G7" s="138">
        <v>59.023780000000002</v>
      </c>
      <c r="H7" s="138">
        <v>58.139769999999999</v>
      </c>
      <c r="I7" s="138">
        <v>57.64123</v>
      </c>
      <c r="J7" s="138">
        <v>57.24653</v>
      </c>
      <c r="K7" s="138">
        <v>57.22007</v>
      </c>
      <c r="L7" s="138">
        <v>56.791359999999997</v>
      </c>
      <c r="M7" s="138">
        <v>54.681269999999998</v>
      </c>
      <c r="N7" s="138">
        <v>51.920229999999997</v>
      </c>
      <c r="O7" s="138">
        <v>53.133670000000002</v>
      </c>
      <c r="P7" s="138">
        <v>54.102420000000002</v>
      </c>
      <c r="Q7" s="138">
        <v>53.809600000000003</v>
      </c>
      <c r="R7" s="138">
        <v>52.809510000000003</v>
      </c>
      <c r="S7" s="138">
        <v>53.590240000000001</v>
      </c>
      <c r="T7" s="138">
        <v>54.01041</v>
      </c>
      <c r="U7" s="138">
        <v>55.46584</v>
      </c>
      <c r="V7" s="138">
        <v>57.870370000000001</v>
      </c>
      <c r="W7" s="138">
        <v>57.735900000000001</v>
      </c>
      <c r="X7" s="138">
        <v>58.138269999999999</v>
      </c>
      <c r="Y7" s="138">
        <v>58.096820000000001</v>
      </c>
      <c r="Z7" s="138">
        <v>58.314250000000001</v>
      </c>
      <c r="AA7" s="138">
        <v>57.491390000000003</v>
      </c>
      <c r="AB7" s="138">
        <v>57.053660000000001</v>
      </c>
      <c r="AC7" s="138">
        <v>55.68065</v>
      </c>
      <c r="AD7" s="138">
        <v>56.124450000000003</v>
      </c>
      <c r="AE7" s="138">
        <v>57.935299999999998</v>
      </c>
      <c r="AF7" s="138">
        <v>58.541690000000003</v>
      </c>
      <c r="AG7" s="138">
        <v>58.096589999999999</v>
      </c>
      <c r="AH7" s="138">
        <v>58.069279999999999</v>
      </c>
      <c r="AI7" s="138">
        <v>57.972239999999999</v>
      </c>
      <c r="AJ7" s="138">
        <v>57.830190000000002</v>
      </c>
      <c r="AK7" s="138">
        <v>57.338920000000002</v>
      </c>
      <c r="AL7" s="138">
        <v>56.271799999999999</v>
      </c>
      <c r="AM7" s="138">
        <v>53.862369999999999</v>
      </c>
      <c r="AN7" s="138">
        <v>53.566049999999997</v>
      </c>
      <c r="AO7" s="138">
        <v>52.858820000000001</v>
      </c>
      <c r="AP7" s="138">
        <v>52.406030000000001</v>
      </c>
      <c r="AQ7" s="138">
        <v>51.855150000000002</v>
      </c>
      <c r="AR7" s="138">
        <v>52.04213</v>
      </c>
      <c r="AS7" s="138">
        <v>51.405079999999998</v>
      </c>
      <c r="AT7" s="138">
        <v>51.018830000000001</v>
      </c>
      <c r="AU7" s="138">
        <v>50.6081</v>
      </c>
      <c r="AV7" s="138">
        <v>50.669199999999996</v>
      </c>
      <c r="AW7" s="138">
        <v>49.583979999999997</v>
      </c>
      <c r="AX7" s="138">
        <v>49.384320000000002</v>
      </c>
      <c r="AY7" s="138">
        <v>49.823810000000002</v>
      </c>
      <c r="AZ7" s="138">
        <v>49.98462</v>
      </c>
      <c r="BA7" s="138">
        <v>49.340600000000002</v>
      </c>
      <c r="BB7" s="138">
        <v>49.306919999999998</v>
      </c>
      <c r="BC7" s="138">
        <v>49.297809999999998</v>
      </c>
      <c r="BD7" s="138">
        <v>49.687449999999998</v>
      </c>
      <c r="BE7" s="138">
        <v>49.330480000000001</v>
      </c>
      <c r="BF7" s="138">
        <v>49.289879999999997</v>
      </c>
      <c r="BG7" s="138">
        <v>49.285919999999997</v>
      </c>
      <c r="BH7" s="138">
        <v>49.183779999999999</v>
      </c>
      <c r="BI7" s="4"/>
      <c r="BJ7" s="4"/>
    </row>
    <row r="8" spans="1:62">
      <c r="A8" s="138" t="s">
        <v>40</v>
      </c>
      <c r="B8" s="138">
        <v>64.554519999999997</v>
      </c>
      <c r="C8" s="138">
        <v>64.966710000000006</v>
      </c>
      <c r="D8" s="138">
        <v>65.894379999999998</v>
      </c>
      <c r="E8" s="138">
        <v>66.066800000000001</v>
      </c>
      <c r="F8" s="138">
        <v>66.725269999999995</v>
      </c>
      <c r="G8" s="138">
        <v>66.286159999999995</v>
      </c>
      <c r="H8" s="138">
        <v>65.948499999999996</v>
      </c>
      <c r="I8" s="138">
        <v>67.485860000000002</v>
      </c>
      <c r="J8" s="138">
        <v>67.921409999999995</v>
      </c>
      <c r="K8" s="138">
        <v>68.521900000000002</v>
      </c>
      <c r="L8" s="138">
        <v>67.731669999999994</v>
      </c>
      <c r="M8" s="138">
        <v>70.046199999999999</v>
      </c>
      <c r="N8" s="138">
        <v>71.355310000000003</v>
      </c>
      <c r="O8" s="138">
        <v>72.454440000000005</v>
      </c>
      <c r="P8" s="138">
        <v>73.535690000000002</v>
      </c>
      <c r="Q8" s="138">
        <v>74.481260000000006</v>
      </c>
      <c r="R8" s="138">
        <v>75.393680000000003</v>
      </c>
      <c r="S8" s="138">
        <v>77.772829999999999</v>
      </c>
      <c r="T8" s="138">
        <v>79.218509999999995</v>
      </c>
      <c r="U8" s="138">
        <v>79.328310000000002</v>
      </c>
      <c r="V8" s="138">
        <v>79.994560000000007</v>
      </c>
      <c r="W8" s="138">
        <v>80.822140000000005</v>
      </c>
      <c r="X8" s="138">
        <v>82.133920000000003</v>
      </c>
      <c r="Y8" s="138">
        <v>83.155670000000001</v>
      </c>
      <c r="Z8" s="138">
        <v>83.906009999999995</v>
      </c>
      <c r="AA8" s="138">
        <v>84.081209999999999</v>
      </c>
      <c r="AB8" s="138">
        <v>85.056659999999994</v>
      </c>
      <c r="AC8" s="138">
        <v>82.468069999999997</v>
      </c>
      <c r="AD8" s="138">
        <v>81.558409999999995</v>
      </c>
      <c r="AE8" s="138">
        <v>80.805179999999993</v>
      </c>
      <c r="AF8" s="138">
        <v>80.097660000000005</v>
      </c>
      <c r="AG8" s="138">
        <v>80.099040000000002</v>
      </c>
      <c r="AH8" s="138">
        <v>83.041039999999995</v>
      </c>
      <c r="AI8" s="138">
        <v>83.835700000000003</v>
      </c>
      <c r="AJ8" s="138">
        <v>83.672839999999994</v>
      </c>
      <c r="AK8" s="138">
        <v>83.088390000000004</v>
      </c>
      <c r="AL8" s="138">
        <v>82.70505</v>
      </c>
      <c r="AM8" s="138">
        <v>82.122200000000007</v>
      </c>
      <c r="AN8" s="138">
        <v>81.186920000000001</v>
      </c>
      <c r="AO8" s="138">
        <v>80.571240000000003</v>
      </c>
      <c r="AP8" s="138">
        <v>79.001140000000007</v>
      </c>
      <c r="AQ8" s="138">
        <v>77.477940000000004</v>
      </c>
      <c r="AR8" s="138">
        <v>77.396240000000006</v>
      </c>
      <c r="AS8" s="138">
        <v>77.491979999999998</v>
      </c>
      <c r="AT8" s="138">
        <v>76.443299999999994</v>
      </c>
      <c r="AU8" s="138">
        <v>75.659130000000005</v>
      </c>
      <c r="AV8" s="138">
        <v>74.237750000000005</v>
      </c>
      <c r="AW8" s="138">
        <v>70.779660000000007</v>
      </c>
      <c r="AX8" s="138">
        <v>68.310289999999995</v>
      </c>
      <c r="AY8" s="138">
        <v>68.418040000000005</v>
      </c>
      <c r="AZ8" s="138">
        <v>68.219840000000005</v>
      </c>
      <c r="BA8" s="138">
        <v>67.496799999999993</v>
      </c>
      <c r="BB8" s="138">
        <v>67.505939999999995</v>
      </c>
      <c r="BC8" s="138">
        <v>67.732510000000005</v>
      </c>
      <c r="BD8" s="138">
        <v>67.264139999999998</v>
      </c>
      <c r="BE8" s="138">
        <v>66.959980000000002</v>
      </c>
      <c r="BF8" s="138">
        <v>66.72927</v>
      </c>
      <c r="BG8" s="138">
        <v>66.056950000000001</v>
      </c>
      <c r="BH8" s="138">
        <v>64.920590000000004</v>
      </c>
      <c r="BI8" s="4"/>
      <c r="BJ8" s="4"/>
    </row>
    <row r="9" spans="1:62">
      <c r="A9" s="138" t="s">
        <v>1</v>
      </c>
      <c r="B9" s="138">
        <v>33.550750000000001</v>
      </c>
      <c r="C9" s="138">
        <v>33.368839999999999</v>
      </c>
      <c r="D9" s="138">
        <v>33.20984</v>
      </c>
      <c r="E9" s="138">
        <v>32.759189999999997</v>
      </c>
      <c r="F9" s="138">
        <v>32.712560000000003</v>
      </c>
      <c r="G9" s="138">
        <v>32.495939999999997</v>
      </c>
      <c r="H9" s="138">
        <v>32.17436</v>
      </c>
      <c r="I9" s="138">
        <v>32.302129999999998</v>
      </c>
      <c r="J9" s="138">
        <v>32.850879999999997</v>
      </c>
      <c r="K9" s="138">
        <v>33.126109999999997</v>
      </c>
      <c r="L9" s="138">
        <v>33.895130000000002</v>
      </c>
      <c r="M9" s="138">
        <v>33.951970000000003</v>
      </c>
      <c r="N9" s="138">
        <v>33.91827</v>
      </c>
      <c r="O9" s="138">
        <v>32.989510000000003</v>
      </c>
      <c r="P9" s="138">
        <v>33.424329999999998</v>
      </c>
      <c r="Q9" s="138">
        <v>33.251669999999997</v>
      </c>
      <c r="R9" s="138">
        <v>33.31024</v>
      </c>
      <c r="S9" s="138">
        <v>33.250570000000003</v>
      </c>
      <c r="T9" s="138">
        <v>34.014539999999997</v>
      </c>
      <c r="U9" s="138">
        <v>33.581119999999999</v>
      </c>
      <c r="V9" s="138">
        <v>32.522019999999998</v>
      </c>
      <c r="W9" s="138">
        <v>31.710989999999999</v>
      </c>
      <c r="X9" s="138">
        <v>31.377549999999999</v>
      </c>
      <c r="Y9" s="138">
        <v>30.426549999999999</v>
      </c>
      <c r="Z9" s="138">
        <v>29.29766</v>
      </c>
      <c r="AA9" s="138">
        <v>28.457149999999999</v>
      </c>
      <c r="AB9" s="138">
        <v>27.678660000000001</v>
      </c>
      <c r="AC9" s="138">
        <v>26.928180000000001</v>
      </c>
      <c r="AD9" s="138">
        <v>26.581880000000002</v>
      </c>
      <c r="AE9" s="138">
        <v>26.077259999999999</v>
      </c>
      <c r="AF9" s="138">
        <v>27.054300000000001</v>
      </c>
      <c r="AG9" s="138">
        <v>27.379840000000002</v>
      </c>
      <c r="AH9" s="138">
        <v>26.73415</v>
      </c>
      <c r="AI9" s="138">
        <v>25.933869999999999</v>
      </c>
      <c r="AJ9" s="138">
        <v>25.441980000000001</v>
      </c>
      <c r="AK9" s="138">
        <v>24.07648</v>
      </c>
      <c r="AL9" s="138">
        <v>23.34712</v>
      </c>
      <c r="AM9" s="138">
        <v>22.412669999999999</v>
      </c>
      <c r="AN9" s="138">
        <v>21.90476</v>
      </c>
      <c r="AO9" s="138">
        <v>21.648430000000001</v>
      </c>
      <c r="AP9" s="138">
        <v>20.944489999999998</v>
      </c>
      <c r="AQ9" s="138">
        <v>20.659739999999999</v>
      </c>
      <c r="AR9" s="138">
        <v>20.2423</v>
      </c>
      <c r="AS9" s="138">
        <v>20.059819999999998</v>
      </c>
      <c r="AT9" s="138">
        <v>19.607890000000001</v>
      </c>
      <c r="AU9" s="138">
        <v>19.332609999999999</v>
      </c>
      <c r="AV9" s="138">
        <v>18.642199999999999</v>
      </c>
      <c r="AW9" s="138">
        <v>18.375360000000001</v>
      </c>
      <c r="AX9" s="138">
        <v>18.244430000000001</v>
      </c>
      <c r="AY9" s="138">
        <v>18.381630000000001</v>
      </c>
      <c r="AZ9" s="138">
        <v>18.089960000000001</v>
      </c>
      <c r="BA9" s="138">
        <v>17.844760000000001</v>
      </c>
      <c r="BB9" s="138">
        <v>17.491389999999999</v>
      </c>
      <c r="BC9" s="138">
        <v>17.274480000000001</v>
      </c>
      <c r="BD9" s="138">
        <v>16.94237</v>
      </c>
      <c r="BE9" s="138">
        <v>16.704090000000001</v>
      </c>
      <c r="BF9" s="138">
        <v>16.29655</v>
      </c>
      <c r="BG9" s="138">
        <v>16.208159999999999</v>
      </c>
      <c r="BH9" s="138">
        <v>16.03988</v>
      </c>
      <c r="BI9" s="4"/>
      <c r="BJ9" s="4"/>
    </row>
    <row r="10" spans="1:62">
      <c r="A10" s="137"/>
      <c r="B10" s="13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2">
      <c r="A11" s="136"/>
      <c r="B11" s="195"/>
    </row>
    <row r="12" spans="1:62">
      <c r="B12" s="179"/>
    </row>
  </sheetData>
  <conditionalFormatting sqref="A6:BH7">
    <cfRule type="expression" dxfId="3" priority="2">
      <formula>ISERROR(A6)</formula>
    </cfRule>
  </conditionalFormatting>
  <conditionalFormatting sqref="B10 A5:BH5 A8:BH8">
    <cfRule type="expression" dxfId="2" priority="1">
      <formula>ISERROR(A5)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740A-4935-459D-97B7-80DE064ED7F0}">
  <dimension ref="A1:C11"/>
  <sheetViews>
    <sheetView workbookViewId="0">
      <selection activeCell="C14" sqref="C14"/>
    </sheetView>
  </sheetViews>
  <sheetFormatPr baseColWidth="10" defaultColWidth="11.44140625" defaultRowHeight="14.4"/>
  <cols>
    <col min="1" max="1" width="23" style="6" customWidth="1"/>
    <col min="2" max="16384" width="11.44140625" style="6"/>
  </cols>
  <sheetData>
    <row r="1" spans="1:3">
      <c r="A1" s="7" t="s">
        <v>441</v>
      </c>
      <c r="B1" s="7" t="s">
        <v>482</v>
      </c>
    </row>
    <row r="4" spans="1:3">
      <c r="A4" s="7"/>
      <c r="B4" s="6">
        <v>1995</v>
      </c>
      <c r="C4" s="6">
        <v>2017</v>
      </c>
    </row>
    <row r="5" spans="1:3">
      <c r="A5" s="6" t="s">
        <v>481</v>
      </c>
      <c r="B5" s="6">
        <v>44</v>
      </c>
      <c r="C5" s="6">
        <v>38</v>
      </c>
    </row>
    <row r="6" spans="1:3">
      <c r="A6" s="6" t="s">
        <v>480</v>
      </c>
      <c r="B6" s="6">
        <v>57</v>
      </c>
      <c r="C6" s="6">
        <v>49</v>
      </c>
    </row>
    <row r="7" spans="1:3">
      <c r="A7" s="6" t="s">
        <v>479</v>
      </c>
      <c r="B7" s="6">
        <v>36</v>
      </c>
      <c r="C7" s="6">
        <v>34</v>
      </c>
    </row>
    <row r="8" spans="1:3">
      <c r="A8" s="6" t="s">
        <v>478</v>
      </c>
      <c r="B8" s="6">
        <v>80</v>
      </c>
      <c r="C8" s="6">
        <v>80</v>
      </c>
    </row>
    <row r="9" spans="1:3">
      <c r="A9" s="6" t="s">
        <v>477</v>
      </c>
      <c r="B9" s="6">
        <v>78</v>
      </c>
      <c r="C9" s="6">
        <v>77</v>
      </c>
    </row>
    <row r="10" spans="1:3">
      <c r="A10" s="6" t="s">
        <v>476</v>
      </c>
      <c r="B10" s="6">
        <v>85</v>
      </c>
      <c r="C10" s="6">
        <v>85</v>
      </c>
    </row>
    <row r="11" spans="1:3">
      <c r="A11" s="6" t="s">
        <v>388</v>
      </c>
      <c r="B11" s="6">
        <v>57</v>
      </c>
      <c r="C11" s="6">
        <v>52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5EC8-F0CC-4308-AA48-2F492FADAB3C}">
  <dimension ref="A1:B24"/>
  <sheetViews>
    <sheetView workbookViewId="0">
      <selection activeCell="D12" sqref="D12"/>
    </sheetView>
  </sheetViews>
  <sheetFormatPr baseColWidth="10" defaultColWidth="11.44140625" defaultRowHeight="14.4"/>
  <cols>
    <col min="1" max="1" width="39.109375" style="6" customWidth="1"/>
    <col min="2" max="16384" width="11.44140625" style="6"/>
  </cols>
  <sheetData>
    <row r="1" spans="1:2">
      <c r="A1" s="7" t="s">
        <v>443</v>
      </c>
      <c r="B1" s="7" t="s">
        <v>715</v>
      </c>
    </row>
    <row r="5" spans="1:2">
      <c r="A5" s="6" t="s">
        <v>500</v>
      </c>
      <c r="B5" s="6">
        <v>18</v>
      </c>
    </row>
    <row r="6" spans="1:2">
      <c r="A6" s="6" t="s">
        <v>499</v>
      </c>
      <c r="B6" s="6">
        <v>19</v>
      </c>
    </row>
    <row r="7" spans="1:2">
      <c r="A7" s="6" t="s">
        <v>498</v>
      </c>
      <c r="B7" s="6">
        <v>24</v>
      </c>
    </row>
    <row r="8" spans="1:2">
      <c r="A8" s="6" t="s">
        <v>497</v>
      </c>
      <c r="B8" s="6">
        <v>25</v>
      </c>
    </row>
    <row r="9" spans="1:2">
      <c r="A9" s="6" t="s">
        <v>207</v>
      </c>
      <c r="B9" s="6">
        <v>31</v>
      </c>
    </row>
    <row r="10" spans="1:2">
      <c r="A10" s="6" t="s">
        <v>496</v>
      </c>
      <c r="B10" s="6">
        <v>35</v>
      </c>
    </row>
    <row r="11" spans="1:2">
      <c r="A11" s="6" t="s">
        <v>495</v>
      </c>
      <c r="B11" s="6">
        <v>35</v>
      </c>
    </row>
    <row r="12" spans="1:2">
      <c r="A12" s="6" t="s">
        <v>494</v>
      </c>
      <c r="B12" s="6">
        <v>38</v>
      </c>
    </row>
    <row r="13" spans="1:2">
      <c r="A13" s="6" t="s">
        <v>493</v>
      </c>
      <c r="B13" s="6">
        <v>38</v>
      </c>
    </row>
    <row r="14" spans="1:2">
      <c r="A14" s="6" t="s">
        <v>492</v>
      </c>
      <c r="B14" s="6">
        <v>42</v>
      </c>
    </row>
    <row r="15" spans="1:2">
      <c r="A15" s="6" t="s">
        <v>491</v>
      </c>
      <c r="B15" s="6">
        <v>50</v>
      </c>
    </row>
    <row r="16" spans="1:2">
      <c r="A16" s="6" t="s">
        <v>388</v>
      </c>
      <c r="B16" s="6">
        <v>51</v>
      </c>
    </row>
    <row r="17" spans="1:2">
      <c r="A17" s="6" t="s">
        <v>490</v>
      </c>
      <c r="B17" s="6">
        <v>53</v>
      </c>
    </row>
    <row r="18" spans="1:2">
      <c r="A18" s="6" t="s">
        <v>489</v>
      </c>
      <c r="B18" s="6">
        <v>55</v>
      </c>
    </row>
    <row r="19" spans="1:2">
      <c r="A19" s="6" t="s">
        <v>488</v>
      </c>
      <c r="B19" s="6">
        <v>58</v>
      </c>
    </row>
    <row r="20" spans="1:2">
      <c r="A20" s="6" t="s">
        <v>487</v>
      </c>
      <c r="B20" s="6">
        <v>71</v>
      </c>
    </row>
    <row r="21" spans="1:2">
      <c r="A21" s="6" t="s">
        <v>486</v>
      </c>
      <c r="B21" s="6">
        <v>72</v>
      </c>
    </row>
    <row r="22" spans="1:2">
      <c r="A22" s="6" t="s">
        <v>485</v>
      </c>
      <c r="B22" s="6">
        <v>72</v>
      </c>
    </row>
    <row r="23" spans="1:2">
      <c r="A23" s="6" t="s">
        <v>484</v>
      </c>
      <c r="B23" s="6">
        <v>75</v>
      </c>
    </row>
    <row r="24" spans="1:2">
      <c r="A24" s="6" t="s">
        <v>483</v>
      </c>
      <c r="B24" s="6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2CBC-6335-4D6C-9553-52030EA1AAF0}">
  <dimension ref="A1:G8"/>
  <sheetViews>
    <sheetView workbookViewId="0">
      <selection activeCell="B12" sqref="B12"/>
    </sheetView>
  </sheetViews>
  <sheetFormatPr baseColWidth="10" defaultColWidth="11.44140625" defaultRowHeight="14.4"/>
  <cols>
    <col min="1" max="1" width="21.44140625" style="6" bestFit="1" customWidth="1"/>
    <col min="2" max="16384" width="11.44140625" style="6"/>
  </cols>
  <sheetData>
    <row r="1" spans="1:7">
      <c r="A1" s="7" t="s">
        <v>412</v>
      </c>
      <c r="B1" s="7" t="s">
        <v>413</v>
      </c>
      <c r="C1" s="7"/>
    </row>
    <row r="4" spans="1:7">
      <c r="B4" s="99">
        <v>2001</v>
      </c>
      <c r="C4" s="99">
        <v>2011</v>
      </c>
      <c r="D4" s="99">
        <v>2023</v>
      </c>
    </row>
    <row r="5" spans="1:7">
      <c r="A5" s="6" t="s">
        <v>423</v>
      </c>
      <c r="B5" s="21">
        <v>2.2883516483516484</v>
      </c>
      <c r="C5" s="21">
        <v>3.2255659640905545</v>
      </c>
      <c r="D5" s="21">
        <v>3.5585263734282453</v>
      </c>
      <c r="G5" s="21"/>
    </row>
    <row r="6" spans="1:7">
      <c r="A6" s="6" t="s">
        <v>403</v>
      </c>
      <c r="B6" s="21">
        <v>0</v>
      </c>
      <c r="C6" s="21">
        <v>2.9633879781420767</v>
      </c>
      <c r="D6" s="21">
        <v>5.2731040973785959</v>
      </c>
    </row>
    <row r="7" spans="1:7">
      <c r="A7" s="6" t="s">
        <v>402</v>
      </c>
      <c r="B7" s="21">
        <v>2.2617582417582418</v>
      </c>
      <c r="C7" s="21">
        <v>4.0301327088212329</v>
      </c>
      <c r="D7" s="21">
        <v>7.2775626672271212</v>
      </c>
    </row>
    <row r="8" spans="1:7">
      <c r="A8" s="6" t="s">
        <v>401</v>
      </c>
      <c r="B8" s="21">
        <v>1.3335824175824178</v>
      </c>
      <c r="C8" s="21">
        <v>1.7708430913348945</v>
      </c>
      <c r="D8" s="21">
        <v>2.7583315262641253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5F25-032F-4629-A668-E6671CBFFBBC}">
  <dimension ref="A1:F41"/>
  <sheetViews>
    <sheetView workbookViewId="0">
      <selection activeCell="I11" sqref="I11"/>
    </sheetView>
  </sheetViews>
  <sheetFormatPr baseColWidth="10" defaultColWidth="11.44140625" defaultRowHeight="14.4"/>
  <cols>
    <col min="1" max="1" width="11.44140625" style="6"/>
    <col min="2" max="2" width="25.33203125" style="6" customWidth="1"/>
    <col min="3" max="16384" width="11.44140625" style="6"/>
  </cols>
  <sheetData>
    <row r="1" spans="1:6">
      <c r="A1" s="7" t="s">
        <v>444</v>
      </c>
      <c r="B1" s="107" t="s">
        <v>445</v>
      </c>
    </row>
    <row r="3" spans="1:6">
      <c r="A3" s="50"/>
      <c r="B3" s="50" t="s">
        <v>505</v>
      </c>
      <c r="C3" s="50" t="s">
        <v>504</v>
      </c>
      <c r="D3" s="50" t="s">
        <v>503</v>
      </c>
      <c r="E3" s="50" t="s">
        <v>502</v>
      </c>
      <c r="F3" s="50" t="s">
        <v>501</v>
      </c>
    </row>
    <row r="4" spans="1:6">
      <c r="A4" s="50">
        <v>1965</v>
      </c>
      <c r="B4" s="50">
        <v>34.449878502660638</v>
      </c>
      <c r="C4" s="50">
        <v>1.8594732039412303</v>
      </c>
      <c r="D4" s="50">
        <v>0</v>
      </c>
      <c r="E4" s="50">
        <v>12.541718700337318</v>
      </c>
      <c r="F4" s="50">
        <v>48.851070406939186</v>
      </c>
    </row>
    <row r="5" spans="1:6">
      <c r="A5" s="50">
        <v>1970</v>
      </c>
      <c r="B5" s="50">
        <v>35.84690795662722</v>
      </c>
      <c r="C5" s="50">
        <v>2.5746397979898004</v>
      </c>
      <c r="D5" s="50">
        <v>0</v>
      </c>
      <c r="E5" s="50">
        <v>11.268068484960708</v>
      </c>
      <c r="F5" s="50">
        <v>49.689616239577731</v>
      </c>
    </row>
    <row r="6" spans="1:6">
      <c r="A6" s="50">
        <v>1975</v>
      </c>
      <c r="B6" s="50">
        <v>36.877340292749338</v>
      </c>
      <c r="C6" s="50">
        <v>2.8367184840576414</v>
      </c>
      <c r="D6" s="50">
        <v>0</v>
      </c>
      <c r="E6" s="50">
        <v>11.44932424460786</v>
      </c>
      <c r="F6" s="50">
        <v>51.163383021414845</v>
      </c>
    </row>
    <row r="7" spans="1:6">
      <c r="A7" s="50">
        <v>1980</v>
      </c>
      <c r="B7" s="50">
        <v>36.052740008240619</v>
      </c>
      <c r="C7" s="50">
        <v>4.5495124296113163</v>
      </c>
      <c r="D7" s="50">
        <v>0</v>
      </c>
      <c r="E7" s="50">
        <v>13.401490179920343</v>
      </c>
      <c r="F7" s="50">
        <v>54.003742617772275</v>
      </c>
    </row>
    <row r="8" spans="1:6">
      <c r="A8" s="50">
        <v>1985</v>
      </c>
      <c r="B8" s="50">
        <v>33.427105742181027</v>
      </c>
      <c r="C8" s="50">
        <v>4.9721164984279325</v>
      </c>
      <c r="D8" s="50">
        <v>0</v>
      </c>
      <c r="E8" s="50">
        <v>13.699156048320363</v>
      </c>
      <c r="F8" s="50">
        <v>52.098378288929325</v>
      </c>
    </row>
    <row r="9" spans="1:6">
      <c r="A9" s="50">
        <v>1990</v>
      </c>
      <c r="B9" s="50">
        <v>33.296805192615693</v>
      </c>
      <c r="C9" s="50">
        <v>6.3221782011295611</v>
      </c>
      <c r="D9" s="50">
        <v>0</v>
      </c>
      <c r="E9" s="50">
        <v>14.98617550366686</v>
      </c>
      <c r="F9" s="50">
        <v>54.60515889741211</v>
      </c>
    </row>
    <row r="10" spans="1:6">
      <c r="A10" s="50">
        <v>1995</v>
      </c>
      <c r="B10" s="50">
        <v>31.186219283206789</v>
      </c>
      <c r="C10" s="50">
        <v>6.9393419871009874</v>
      </c>
      <c r="D10" s="50">
        <v>2.4477916564617517</v>
      </c>
      <c r="E10" s="50">
        <v>14.279655652873716</v>
      </c>
      <c r="F10" s="50">
        <v>54.853008579643245</v>
      </c>
    </row>
    <row r="11" spans="1:6">
      <c r="A11" s="50">
        <v>2000</v>
      </c>
      <c r="B11" s="50">
        <v>32.908960314749294</v>
      </c>
      <c r="C11" s="50">
        <v>7.1612051735410658</v>
      </c>
      <c r="D11" s="50">
        <v>3.05525657523956</v>
      </c>
      <c r="E11" s="50">
        <v>13.330798266701899</v>
      </c>
      <c r="F11" s="50">
        <v>56.456220330231808</v>
      </c>
    </row>
    <row r="12" spans="1:6">
      <c r="A12" s="50">
        <v>2005</v>
      </c>
      <c r="B12" s="50">
        <v>34.481930392496615</v>
      </c>
      <c r="C12" s="50">
        <v>10.069013024993449</v>
      </c>
      <c r="D12" s="50">
        <v>4.2261497240324228</v>
      </c>
      <c r="E12" s="50">
        <v>11.684317885347376</v>
      </c>
      <c r="F12" s="50">
        <v>60.461411026869861</v>
      </c>
    </row>
    <row r="13" spans="1:6">
      <c r="A13" s="50">
        <v>2010</v>
      </c>
      <c r="B13" s="50">
        <v>33.93388788389943</v>
      </c>
      <c r="C13" s="50">
        <v>12.111837404229949</v>
      </c>
      <c r="D13" s="50">
        <v>4.1359045509584806</v>
      </c>
      <c r="E13" s="50">
        <v>12.329067837106445</v>
      </c>
      <c r="F13" s="50">
        <v>62.510697676194305</v>
      </c>
    </row>
    <row r="14" spans="1:6">
      <c r="A14" s="50">
        <v>2015</v>
      </c>
      <c r="B14" s="50">
        <v>39.189127384874013</v>
      </c>
      <c r="C14" s="50">
        <v>14.304299726206885</v>
      </c>
      <c r="D14" s="50">
        <v>4.5735193231191396</v>
      </c>
      <c r="E14" s="50">
        <v>11.331697579124974</v>
      </c>
      <c r="F14" s="50">
        <v>69.398644013325011</v>
      </c>
    </row>
    <row r="15" spans="1:6">
      <c r="A15" s="50">
        <v>2020</v>
      </c>
      <c r="B15" s="50">
        <v>39.640324427366515</v>
      </c>
      <c r="C15" s="50">
        <v>18.155943339108124</v>
      </c>
      <c r="D15" s="50">
        <v>4.7956743017797949</v>
      </c>
      <c r="E15" s="50">
        <v>10.983652745223809</v>
      </c>
      <c r="F15" s="50">
        <v>73.575594813478233</v>
      </c>
    </row>
    <row r="16" spans="1:6">
      <c r="A16" s="50">
        <v>2021</v>
      </c>
      <c r="B16" s="50">
        <v>39.44607322795504</v>
      </c>
      <c r="C16" s="50">
        <v>17.911790647725812</v>
      </c>
      <c r="D16" s="50">
        <v>5.0182013113445594</v>
      </c>
      <c r="E16" s="50">
        <v>10.299002145428656</v>
      </c>
      <c r="F16" s="50">
        <v>72.794382448339093</v>
      </c>
    </row>
    <row r="17" spans="1:6">
      <c r="A17" s="50">
        <v>2022</v>
      </c>
      <c r="B17" s="50">
        <v>40.888434433649216</v>
      </c>
      <c r="C17" s="50">
        <v>17.679203420222976</v>
      </c>
      <c r="D17" s="50">
        <v>5.0608626240342662</v>
      </c>
      <c r="E17" s="50">
        <v>10.057141739809552</v>
      </c>
      <c r="F17" s="50">
        <v>73.801927038463717</v>
      </c>
    </row>
    <row r="39" spans="2:2">
      <c r="B39" s="109"/>
    </row>
    <row r="40" spans="2:2">
      <c r="B40" s="109"/>
    </row>
    <row r="41" spans="2:2">
      <c r="B41" s="109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33AA1-C87C-4615-8B6C-A74AB9EF332A}">
  <dimension ref="A1:G32"/>
  <sheetViews>
    <sheetView workbookViewId="0">
      <selection activeCell="C17" sqref="C17"/>
    </sheetView>
  </sheetViews>
  <sheetFormatPr baseColWidth="10" defaultColWidth="11.44140625" defaultRowHeight="14.4"/>
  <cols>
    <col min="1" max="3" width="11.44140625" style="6"/>
    <col min="4" max="4" width="11.44140625" style="6" customWidth="1"/>
    <col min="5" max="16384" width="11.44140625" style="6"/>
  </cols>
  <sheetData>
    <row r="1" spans="1:7">
      <c r="A1" s="7" t="s">
        <v>446</v>
      </c>
      <c r="B1" s="7" t="s">
        <v>447</v>
      </c>
    </row>
    <row r="4" spans="1:7">
      <c r="A4" s="243"/>
      <c r="B4" s="243"/>
      <c r="C4" s="243"/>
      <c r="D4" s="243"/>
      <c r="E4" s="243"/>
      <c r="F4" s="243"/>
      <c r="G4" s="243"/>
    </row>
    <row r="5" spans="1:7" ht="25.5" customHeight="1">
      <c r="A5" s="147"/>
      <c r="B5" s="146" t="s">
        <v>507</v>
      </c>
      <c r="C5" s="145" t="s">
        <v>506</v>
      </c>
      <c r="D5" s="145"/>
      <c r="E5" s="144"/>
      <c r="F5" s="139"/>
      <c r="G5" s="144"/>
    </row>
    <row r="6" spans="1:7">
      <c r="A6" s="141" t="s">
        <v>464</v>
      </c>
      <c r="B6" s="141"/>
      <c r="C6" s="143">
        <v>15.1</v>
      </c>
      <c r="D6" s="140"/>
      <c r="E6" s="140"/>
      <c r="F6" s="139"/>
      <c r="G6" s="140"/>
    </row>
    <row r="7" spans="1:7">
      <c r="A7" s="141" t="s">
        <v>60</v>
      </c>
      <c r="B7" s="141"/>
      <c r="C7" s="143">
        <v>20</v>
      </c>
      <c r="D7" s="140"/>
      <c r="E7" s="140"/>
      <c r="F7" s="139"/>
      <c r="G7" s="140"/>
    </row>
    <row r="8" spans="1:7">
      <c r="A8" s="141" t="s">
        <v>54</v>
      </c>
      <c r="B8" s="140">
        <v>35</v>
      </c>
      <c r="C8" s="140">
        <v>24.958044999999998</v>
      </c>
      <c r="D8" s="139"/>
      <c r="E8" s="140"/>
      <c r="F8" s="139"/>
      <c r="G8" s="140"/>
    </row>
    <row r="9" spans="1:7">
      <c r="A9" s="141" t="s">
        <v>57</v>
      </c>
      <c r="B9" s="140">
        <v>30</v>
      </c>
      <c r="C9" s="142"/>
      <c r="D9" s="139"/>
      <c r="E9" s="140"/>
      <c r="F9" s="139"/>
      <c r="G9" s="142"/>
    </row>
    <row r="10" spans="1:7">
      <c r="A10" s="141" t="s">
        <v>394</v>
      </c>
      <c r="B10" s="140"/>
      <c r="C10" s="140">
        <v>33</v>
      </c>
      <c r="D10" s="139"/>
      <c r="E10" s="140"/>
      <c r="F10" s="139"/>
      <c r="G10" s="140"/>
    </row>
    <row r="11" spans="1:7">
      <c r="A11" s="141" t="s">
        <v>62</v>
      </c>
      <c r="B11" s="140"/>
      <c r="C11" s="140">
        <v>37.457282999999997</v>
      </c>
      <c r="D11" s="139"/>
      <c r="E11" s="140"/>
      <c r="F11" s="139"/>
      <c r="G11" s="140"/>
    </row>
    <row r="12" spans="1:7">
      <c r="A12" s="141" t="s">
        <v>457</v>
      </c>
      <c r="B12" s="140">
        <v>45</v>
      </c>
      <c r="C12" s="142"/>
      <c r="D12" s="139"/>
      <c r="E12" s="140"/>
      <c r="F12" s="139"/>
      <c r="G12" s="142"/>
    </row>
    <row r="13" spans="1:7">
      <c r="A13" s="141" t="s">
        <v>58</v>
      </c>
      <c r="B13" s="140">
        <v>100</v>
      </c>
      <c r="C13" s="140">
        <v>56</v>
      </c>
      <c r="D13" s="139"/>
      <c r="E13" s="140"/>
      <c r="F13" s="139"/>
      <c r="G13" s="140"/>
    </row>
    <row r="14" spans="1:7">
      <c r="A14" s="141" t="s">
        <v>51</v>
      </c>
      <c r="B14" s="140"/>
      <c r="C14" s="140">
        <v>58.362887000000001</v>
      </c>
      <c r="D14" s="139"/>
      <c r="E14" s="140"/>
      <c r="F14" s="139"/>
      <c r="G14" s="140"/>
    </row>
    <row r="15" spans="1:7">
      <c r="A15" s="141" t="s">
        <v>43</v>
      </c>
      <c r="B15" s="140"/>
      <c r="C15" s="140">
        <v>60</v>
      </c>
      <c r="D15" s="139"/>
      <c r="E15" s="140"/>
      <c r="F15" s="139"/>
      <c r="G15" s="140"/>
    </row>
    <row r="16" spans="1:7">
      <c r="A16" s="141" t="s">
        <v>53</v>
      </c>
      <c r="B16" s="140">
        <v>68.783056999999999</v>
      </c>
      <c r="C16" s="140">
        <v>60</v>
      </c>
      <c r="D16" s="139"/>
      <c r="E16" s="140"/>
      <c r="F16" s="139"/>
      <c r="G16" s="140"/>
    </row>
    <row r="17" spans="1:7">
      <c r="A17" s="141" t="s">
        <v>64</v>
      </c>
      <c r="B17" s="140">
        <v>60</v>
      </c>
      <c r="C17" s="142"/>
      <c r="D17" s="139"/>
      <c r="E17" s="140"/>
      <c r="F17" s="139"/>
      <c r="G17" s="142"/>
    </row>
    <row r="18" spans="1:7">
      <c r="A18" s="141" t="s">
        <v>47</v>
      </c>
      <c r="B18" s="140">
        <v>60</v>
      </c>
      <c r="C18" s="140">
        <v>62</v>
      </c>
      <c r="D18" s="139"/>
      <c r="E18" s="140"/>
      <c r="F18" s="139"/>
      <c r="G18" s="140"/>
    </row>
    <row r="19" spans="1:7">
      <c r="A19" s="141" t="s">
        <v>55</v>
      </c>
      <c r="B19" s="140">
        <v>69.599999999999994</v>
      </c>
      <c r="C19" s="140">
        <v>64.8</v>
      </c>
      <c r="D19" s="139"/>
      <c r="E19" s="140"/>
      <c r="F19" s="139"/>
      <c r="G19" s="140"/>
    </row>
    <row r="20" spans="1:7">
      <c r="A20" s="141" t="s">
        <v>56</v>
      </c>
      <c r="B20" s="140">
        <v>58</v>
      </c>
      <c r="C20" s="140">
        <v>65</v>
      </c>
      <c r="D20" s="139"/>
      <c r="E20" s="140"/>
      <c r="F20" s="139"/>
      <c r="G20" s="140"/>
    </row>
    <row r="21" spans="1:7">
      <c r="A21" s="141" t="s">
        <v>459</v>
      </c>
      <c r="B21" s="140">
        <v>35</v>
      </c>
      <c r="C21" s="140">
        <v>65.053424000000007</v>
      </c>
      <c r="D21" s="139"/>
      <c r="E21" s="140"/>
      <c r="F21" s="139"/>
      <c r="G21" s="140"/>
    </row>
    <row r="22" spans="1:7">
      <c r="A22" s="141" t="s">
        <v>44</v>
      </c>
      <c r="B22" s="140">
        <v>66</v>
      </c>
      <c r="C22" s="140">
        <v>69.822415000000007</v>
      </c>
      <c r="D22" s="139"/>
      <c r="E22" s="140"/>
      <c r="F22" s="139"/>
      <c r="G22" s="140"/>
    </row>
    <row r="23" spans="1:7">
      <c r="A23" s="141" t="s">
        <v>41</v>
      </c>
      <c r="B23" s="140">
        <v>58</v>
      </c>
      <c r="C23" s="140">
        <v>73.400000000000006</v>
      </c>
      <c r="D23" s="139"/>
      <c r="E23" s="140"/>
      <c r="F23" s="139"/>
      <c r="G23" s="140"/>
    </row>
    <row r="24" spans="1:7">
      <c r="A24" s="141" t="s">
        <v>45</v>
      </c>
      <c r="B24" s="140">
        <v>74</v>
      </c>
      <c r="C24" s="140">
        <v>75</v>
      </c>
      <c r="D24" s="139"/>
      <c r="E24" s="140"/>
      <c r="F24" s="139"/>
      <c r="G24" s="140"/>
    </row>
    <row r="25" spans="1:7">
      <c r="A25" s="141" t="s">
        <v>361</v>
      </c>
      <c r="B25" s="140">
        <v>72</v>
      </c>
      <c r="C25" s="140">
        <v>75</v>
      </c>
      <c r="D25" s="139"/>
      <c r="E25" s="140"/>
      <c r="F25" s="139"/>
      <c r="G25" s="140"/>
    </row>
    <row r="26" spans="1:7">
      <c r="A26" s="141" t="s">
        <v>455</v>
      </c>
      <c r="B26" s="140">
        <v>80</v>
      </c>
      <c r="C26" s="140">
        <v>80</v>
      </c>
      <c r="D26" s="139"/>
      <c r="E26" s="140"/>
      <c r="F26" s="139"/>
      <c r="G26" s="140"/>
    </row>
    <row r="27" spans="1:7">
      <c r="A27" s="141" t="s">
        <v>50</v>
      </c>
      <c r="B27" s="140">
        <v>82</v>
      </c>
      <c r="C27" s="140">
        <v>82</v>
      </c>
      <c r="D27" s="139"/>
      <c r="E27" s="140"/>
      <c r="F27" s="139"/>
      <c r="G27" s="140"/>
    </row>
    <row r="28" spans="1:7">
      <c r="A28" s="141" t="s">
        <v>48</v>
      </c>
      <c r="B28" s="140">
        <v>85</v>
      </c>
      <c r="C28" s="140">
        <v>85</v>
      </c>
      <c r="D28" s="139"/>
      <c r="E28" s="140"/>
      <c r="F28" s="139"/>
      <c r="G28" s="140"/>
    </row>
    <row r="29" spans="1:7">
      <c r="A29" s="141" t="s">
        <v>40</v>
      </c>
      <c r="B29" s="140">
        <v>83</v>
      </c>
      <c r="C29" s="140">
        <v>88</v>
      </c>
      <c r="D29" s="139"/>
      <c r="E29" s="140"/>
      <c r="F29" s="139"/>
      <c r="G29" s="140"/>
    </row>
    <row r="30" spans="1:7">
      <c r="A30" s="141" t="s">
        <v>52</v>
      </c>
      <c r="B30" s="140">
        <v>100</v>
      </c>
      <c r="C30" s="140">
        <v>100</v>
      </c>
      <c r="D30" s="139"/>
      <c r="E30" s="140"/>
      <c r="F30" s="139"/>
      <c r="G30" s="140"/>
    </row>
    <row r="31" spans="1:7">
      <c r="A31" s="139"/>
      <c r="B31" s="139"/>
      <c r="C31" s="139"/>
      <c r="D31" s="139"/>
      <c r="E31" s="139"/>
      <c r="F31" s="139"/>
      <c r="G31" s="139"/>
    </row>
    <row r="32" spans="1:7">
      <c r="A32" s="139"/>
      <c r="B32" s="139"/>
      <c r="C32" s="139"/>
      <c r="D32" s="139"/>
      <c r="E32" s="139"/>
      <c r="F32" s="139"/>
      <c r="G32" s="139"/>
    </row>
  </sheetData>
  <mergeCells count="1">
    <mergeCell ref="A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EE25A-E04B-4AAC-B1EB-E012A0E065FF}">
  <dimension ref="A1:C22"/>
  <sheetViews>
    <sheetView workbookViewId="0">
      <selection activeCell="B1" sqref="B1"/>
    </sheetView>
  </sheetViews>
  <sheetFormatPr baseColWidth="10" defaultColWidth="11.44140625" defaultRowHeight="14.4"/>
  <cols>
    <col min="1" max="1" width="27.33203125" style="6" customWidth="1"/>
    <col min="2" max="16384" width="11.44140625" style="6"/>
  </cols>
  <sheetData>
    <row r="1" spans="1:3">
      <c r="A1" s="7" t="s">
        <v>448</v>
      </c>
      <c r="B1" s="7" t="s">
        <v>449</v>
      </c>
      <c r="C1" s="7"/>
    </row>
    <row r="4" spans="1:3">
      <c r="A4" s="6" t="s">
        <v>496</v>
      </c>
      <c r="B4" s="6">
        <v>18</v>
      </c>
    </row>
    <row r="5" spans="1:3">
      <c r="A5" s="6" t="s">
        <v>500</v>
      </c>
      <c r="B5" s="6">
        <v>18</v>
      </c>
    </row>
    <row r="6" spans="1:3">
      <c r="A6" s="6" t="s">
        <v>513</v>
      </c>
      <c r="B6" s="6">
        <v>21</v>
      </c>
    </row>
    <row r="7" spans="1:3">
      <c r="A7" s="6" t="s">
        <v>512</v>
      </c>
      <c r="B7" s="6">
        <v>29</v>
      </c>
    </row>
    <row r="8" spans="1:3">
      <c r="A8" s="6" t="s">
        <v>493</v>
      </c>
      <c r="B8" s="6">
        <v>32</v>
      </c>
    </row>
    <row r="9" spans="1:3">
      <c r="A9" s="6" t="s">
        <v>494</v>
      </c>
      <c r="B9" s="6">
        <v>33</v>
      </c>
    </row>
    <row r="10" spans="1:3">
      <c r="A10" s="6" t="s">
        <v>511</v>
      </c>
      <c r="B10" s="6">
        <v>34</v>
      </c>
    </row>
    <row r="11" spans="1:3">
      <c r="A11" s="6" t="s">
        <v>498</v>
      </c>
      <c r="B11" s="6">
        <v>35</v>
      </c>
    </row>
    <row r="12" spans="1:3">
      <c r="A12" s="6" t="s">
        <v>510</v>
      </c>
      <c r="B12" s="6">
        <v>36</v>
      </c>
    </row>
    <row r="13" spans="1:3">
      <c r="A13" s="6" t="s">
        <v>497</v>
      </c>
      <c r="B13" s="6">
        <v>39</v>
      </c>
    </row>
    <row r="14" spans="1:3">
      <c r="A14" s="6" t="s">
        <v>509</v>
      </c>
      <c r="B14" s="6">
        <v>41</v>
      </c>
    </row>
    <row r="15" spans="1:3">
      <c r="A15" s="6" t="s">
        <v>388</v>
      </c>
      <c r="B15" s="6">
        <v>47</v>
      </c>
    </row>
    <row r="16" spans="1:3">
      <c r="A16" s="6" t="s">
        <v>487</v>
      </c>
      <c r="B16" s="6">
        <v>51</v>
      </c>
    </row>
    <row r="17" spans="1:2">
      <c r="A17" s="6" t="s">
        <v>491</v>
      </c>
      <c r="B17" s="6">
        <v>66</v>
      </c>
    </row>
    <row r="18" spans="1:2">
      <c r="A18" s="6" t="s">
        <v>489</v>
      </c>
      <c r="B18" s="6">
        <v>66</v>
      </c>
    </row>
    <row r="19" spans="1:2">
      <c r="A19" s="6" t="s">
        <v>490</v>
      </c>
      <c r="B19" s="6">
        <v>76</v>
      </c>
    </row>
    <row r="20" spans="1:2">
      <c r="A20" s="6" t="s">
        <v>488</v>
      </c>
      <c r="B20" s="6">
        <v>81</v>
      </c>
    </row>
    <row r="21" spans="1:2">
      <c r="A21" s="6" t="s">
        <v>508</v>
      </c>
      <c r="B21" s="6">
        <v>93</v>
      </c>
    </row>
    <row r="22" spans="1:2">
      <c r="A22" s="6" t="s">
        <v>486</v>
      </c>
      <c r="B22" s="6">
        <v>95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79F4A-182E-45BF-BBDA-DDA056BE6DEF}">
  <dimension ref="A1:AJ17"/>
  <sheetViews>
    <sheetView topLeftCell="A2" workbookViewId="0">
      <selection activeCell="J20" sqref="J20"/>
    </sheetView>
  </sheetViews>
  <sheetFormatPr baseColWidth="10" defaultColWidth="11.44140625" defaultRowHeight="14.4"/>
  <cols>
    <col min="1" max="16384" width="11.44140625" style="6"/>
  </cols>
  <sheetData>
    <row r="1" spans="1:36">
      <c r="A1" s="7" t="s">
        <v>514</v>
      </c>
      <c r="B1" s="7" t="s">
        <v>451</v>
      </c>
    </row>
    <row r="3" spans="1:36">
      <c r="A3" s="137"/>
      <c r="B3" s="137">
        <v>1985</v>
      </c>
      <c r="C3" s="137">
        <v>1986</v>
      </c>
      <c r="D3" s="137">
        <v>1987</v>
      </c>
      <c r="E3" s="137">
        <v>1988</v>
      </c>
      <c r="F3" s="137">
        <v>1989</v>
      </c>
      <c r="G3" s="137">
        <v>1990</v>
      </c>
      <c r="H3" s="137">
        <v>1991</v>
      </c>
      <c r="I3" s="137">
        <v>1992</v>
      </c>
      <c r="J3" s="137">
        <v>1993</v>
      </c>
      <c r="K3" s="137">
        <v>1994</v>
      </c>
      <c r="L3" s="137">
        <v>1995</v>
      </c>
      <c r="M3" s="137">
        <v>1996</v>
      </c>
      <c r="N3" s="137">
        <v>1997</v>
      </c>
      <c r="O3" s="137">
        <v>1998</v>
      </c>
      <c r="P3" s="137">
        <v>1999</v>
      </c>
      <c r="Q3" s="137">
        <v>2000</v>
      </c>
      <c r="R3" s="137">
        <v>2001</v>
      </c>
      <c r="S3" s="137">
        <v>2002</v>
      </c>
      <c r="T3" s="137">
        <v>2003</v>
      </c>
      <c r="U3" s="137">
        <v>2004</v>
      </c>
      <c r="V3" s="137">
        <v>2005</v>
      </c>
      <c r="W3" s="137">
        <v>2006</v>
      </c>
      <c r="X3" s="137">
        <v>2007</v>
      </c>
      <c r="Y3" s="137">
        <v>2008</v>
      </c>
      <c r="Z3" s="137">
        <v>2009</v>
      </c>
      <c r="AA3" s="137">
        <v>2010</v>
      </c>
      <c r="AB3" s="137">
        <v>2011</v>
      </c>
      <c r="AC3" s="137">
        <v>2012</v>
      </c>
      <c r="AD3" s="137">
        <v>2013</v>
      </c>
      <c r="AE3" s="137">
        <v>2014</v>
      </c>
      <c r="AF3" s="137">
        <v>2015</v>
      </c>
      <c r="AG3" s="137">
        <v>2016</v>
      </c>
      <c r="AH3" s="137">
        <v>2017</v>
      </c>
    </row>
    <row r="4" spans="1:36">
      <c r="A4" s="138" t="s">
        <v>47</v>
      </c>
      <c r="B4" s="138">
        <v>83</v>
      </c>
      <c r="C4" s="138" t="e">
        <v>#N/A</v>
      </c>
      <c r="D4" s="138" t="e">
        <v>#N/A</v>
      </c>
      <c r="E4" s="138" t="e">
        <v>#N/A</v>
      </c>
      <c r="F4" s="138" t="e">
        <v>#N/A</v>
      </c>
      <c r="G4" s="138">
        <v>82.82</v>
      </c>
      <c r="H4" s="138" t="e">
        <v>#N/A</v>
      </c>
      <c r="I4" s="138" t="e">
        <v>#N/A</v>
      </c>
      <c r="J4" s="138">
        <v>83</v>
      </c>
      <c r="K4" s="138" t="e">
        <v>#N/A</v>
      </c>
      <c r="L4" s="138" t="e">
        <v>#N/A</v>
      </c>
      <c r="M4" s="138" t="e">
        <v>#N/A</v>
      </c>
      <c r="N4" s="138">
        <v>83</v>
      </c>
      <c r="O4" s="138" t="e">
        <v>#N/A</v>
      </c>
      <c r="P4" s="138" t="e">
        <v>#N/A</v>
      </c>
      <c r="Q4" s="138">
        <v>77.726962</v>
      </c>
      <c r="R4" s="138">
        <v>77.922228000000004</v>
      </c>
      <c r="S4" s="138">
        <v>77.772806000000003</v>
      </c>
      <c r="T4" s="138">
        <v>77.141114000000002</v>
      </c>
      <c r="U4" s="138">
        <v>76.280413999999993</v>
      </c>
      <c r="V4" s="138">
        <v>76.681270999999995</v>
      </c>
      <c r="W4" s="138">
        <v>76.953000000000003</v>
      </c>
      <c r="X4" s="138">
        <v>76.838571999999999</v>
      </c>
      <c r="Y4" s="138">
        <v>76.562281999999996</v>
      </c>
      <c r="Z4" s="138">
        <v>76.320223999999996</v>
      </c>
      <c r="AA4" s="138">
        <v>76.478185999999994</v>
      </c>
      <c r="AB4" s="138">
        <v>76.255415999999997</v>
      </c>
      <c r="AC4" s="138">
        <v>76.595438999999999</v>
      </c>
      <c r="AD4" s="138">
        <v>80</v>
      </c>
      <c r="AE4" s="138">
        <v>82</v>
      </c>
      <c r="AF4" s="138">
        <v>82</v>
      </c>
      <c r="AG4" s="138">
        <v>82</v>
      </c>
      <c r="AH4" s="138" t="e">
        <v>#N/A</v>
      </c>
    </row>
    <row r="5" spans="1:36">
      <c r="A5" s="138" t="s">
        <v>44</v>
      </c>
      <c r="B5" s="138">
        <v>77</v>
      </c>
      <c r="C5" s="138" t="e">
        <v>#N/A</v>
      </c>
      <c r="D5" s="138" t="e">
        <v>#N/A</v>
      </c>
      <c r="E5" s="138" t="e">
        <v>#N/A</v>
      </c>
      <c r="F5" s="138">
        <v>85</v>
      </c>
      <c r="G5" s="138" t="e">
        <v>#N/A</v>
      </c>
      <c r="H5" s="138" t="e">
        <v>#N/A</v>
      </c>
      <c r="I5" s="138" t="e">
        <v>#N/A</v>
      </c>
      <c r="J5" s="138" t="e">
        <v>#N/A</v>
      </c>
      <c r="K5" s="138" t="e">
        <v>#N/A</v>
      </c>
      <c r="L5" s="138">
        <v>83</v>
      </c>
      <c r="M5" s="138" t="e">
        <v>#N/A</v>
      </c>
      <c r="N5" s="138" t="e">
        <v>#N/A</v>
      </c>
      <c r="O5" s="138" t="e">
        <v>#N/A</v>
      </c>
      <c r="P5" s="138" t="e">
        <v>#N/A</v>
      </c>
      <c r="Q5" s="138">
        <v>85</v>
      </c>
      <c r="R5" s="138" t="e">
        <v>#N/A</v>
      </c>
      <c r="S5" s="138">
        <v>91</v>
      </c>
      <c r="T5" s="138" t="e">
        <v>#N/A</v>
      </c>
      <c r="U5" s="138">
        <v>91.4</v>
      </c>
      <c r="V5" s="138" t="e">
        <v>#N/A</v>
      </c>
      <c r="W5" s="138">
        <v>87.7</v>
      </c>
      <c r="X5" s="138" t="e">
        <v>#N/A</v>
      </c>
      <c r="Y5" s="138">
        <v>84.7</v>
      </c>
      <c r="Z5" s="138">
        <v>78.433429000000004</v>
      </c>
      <c r="AA5" s="138">
        <v>77.814492999999999</v>
      </c>
      <c r="AB5" s="138" t="e">
        <v>#N/A</v>
      </c>
      <c r="AC5" s="138">
        <v>89.744186999999997</v>
      </c>
      <c r="AD5" s="138" t="e">
        <v>#N/A</v>
      </c>
      <c r="AE5" s="138">
        <v>89.3</v>
      </c>
      <c r="AF5" s="138">
        <v>89.315185999999997</v>
      </c>
      <c r="AG5" s="138" t="e">
        <v>#N/A</v>
      </c>
      <c r="AH5" s="138" t="e">
        <v>#N/A</v>
      </c>
    </row>
    <row r="6" spans="1:36">
      <c r="A6" s="138" t="s">
        <v>41</v>
      </c>
      <c r="B6" s="138">
        <v>75</v>
      </c>
      <c r="C6" s="138" t="e">
        <v>#N/A</v>
      </c>
      <c r="D6" s="138" t="e">
        <v>#N/A</v>
      </c>
      <c r="E6" s="138" t="e">
        <v>#N/A</v>
      </c>
      <c r="F6" s="138" t="e">
        <v>#N/A</v>
      </c>
      <c r="G6" s="138">
        <v>75</v>
      </c>
      <c r="H6" s="138" t="e">
        <v>#N/A</v>
      </c>
      <c r="I6" s="138">
        <v>75</v>
      </c>
      <c r="J6" s="138" t="e">
        <v>#N/A</v>
      </c>
      <c r="K6" s="138" t="e">
        <v>#N/A</v>
      </c>
      <c r="L6" s="138">
        <v>76</v>
      </c>
      <c r="M6" s="138" t="e">
        <v>#N/A</v>
      </c>
      <c r="N6" s="138" t="e">
        <v>#N/A</v>
      </c>
      <c r="O6" s="138">
        <v>77</v>
      </c>
      <c r="P6" s="138" t="e">
        <v>#N/A</v>
      </c>
      <c r="Q6" s="138" t="e">
        <v>#N/A</v>
      </c>
      <c r="R6" s="138" t="e">
        <v>#N/A</v>
      </c>
      <c r="S6" s="138" t="e">
        <v>#N/A</v>
      </c>
      <c r="T6" s="138" t="e">
        <v>#N/A</v>
      </c>
      <c r="U6" s="138">
        <v>74.5</v>
      </c>
      <c r="V6" s="138">
        <v>74.2</v>
      </c>
      <c r="W6" s="138" t="e">
        <v>#N/A</v>
      </c>
      <c r="X6" s="138" t="e">
        <v>#N/A</v>
      </c>
      <c r="Y6" s="138">
        <v>73.5</v>
      </c>
      <c r="Z6" s="138" t="e">
        <v>#N/A</v>
      </c>
      <c r="AA6" s="138" t="e">
        <v>#N/A</v>
      </c>
      <c r="AB6" s="138" t="e">
        <v>#N/A</v>
      </c>
      <c r="AC6" s="138">
        <v>73.099999999999994</v>
      </c>
      <c r="AD6" s="138">
        <v>72.400000000000006</v>
      </c>
      <c r="AE6" s="138">
        <v>72.5</v>
      </c>
      <c r="AF6" s="138" t="e">
        <v>#N/A</v>
      </c>
      <c r="AG6" s="138" t="e">
        <v>#N/A</v>
      </c>
      <c r="AH6" s="138" t="e">
        <v>#N/A</v>
      </c>
    </row>
    <row r="7" spans="1:36">
      <c r="A7" s="138" t="s">
        <v>40</v>
      </c>
      <c r="B7" s="138">
        <v>91</v>
      </c>
      <c r="C7" s="138" t="e">
        <v>#N/A</v>
      </c>
      <c r="D7" s="138" t="e">
        <v>#N/A</v>
      </c>
      <c r="E7" s="138" t="e">
        <v>#N/A</v>
      </c>
      <c r="F7" s="138" t="e">
        <v>#N/A</v>
      </c>
      <c r="G7" s="138">
        <v>91</v>
      </c>
      <c r="H7" s="138" t="e">
        <v>#N/A</v>
      </c>
      <c r="I7" s="138" t="e">
        <v>#N/A</v>
      </c>
      <c r="J7" s="138" t="e">
        <v>#N/A</v>
      </c>
      <c r="K7" s="138">
        <v>94</v>
      </c>
      <c r="L7" s="138">
        <v>94</v>
      </c>
      <c r="M7" s="138" t="e">
        <v>#N/A</v>
      </c>
      <c r="N7" s="138" t="e">
        <v>#N/A</v>
      </c>
      <c r="O7" s="138">
        <v>94</v>
      </c>
      <c r="P7" s="138" t="e">
        <v>#N/A</v>
      </c>
      <c r="Q7" s="138">
        <v>94</v>
      </c>
      <c r="R7" s="138" t="e">
        <v>#N/A</v>
      </c>
      <c r="S7" s="138">
        <v>94</v>
      </c>
      <c r="T7" s="138" t="e">
        <v>#N/A</v>
      </c>
      <c r="U7" s="138" t="e">
        <v>#N/A</v>
      </c>
      <c r="V7" s="138">
        <v>93</v>
      </c>
      <c r="W7" s="138" t="e">
        <v>#N/A</v>
      </c>
      <c r="X7" s="138">
        <v>89.5</v>
      </c>
      <c r="Y7" s="138">
        <v>90</v>
      </c>
      <c r="Z7" s="138">
        <v>90</v>
      </c>
      <c r="AA7" s="138">
        <v>89</v>
      </c>
      <c r="AB7" s="138">
        <v>89</v>
      </c>
      <c r="AC7" s="138">
        <v>90</v>
      </c>
      <c r="AD7" s="138">
        <v>89</v>
      </c>
      <c r="AE7" s="138">
        <v>90</v>
      </c>
      <c r="AF7" s="138">
        <v>90</v>
      </c>
      <c r="AG7" s="138">
        <v>90</v>
      </c>
      <c r="AH7" s="138" t="e">
        <v>#N/A</v>
      </c>
      <c r="AI7" s="194"/>
      <c r="AJ7" s="194"/>
    </row>
    <row r="8" spans="1:36">
      <c r="A8" s="138" t="s">
        <v>1</v>
      </c>
      <c r="B8" s="138">
        <v>46.07014708093898</v>
      </c>
      <c r="C8" s="138">
        <v>45.357613147787511</v>
      </c>
      <c r="D8" s="138">
        <v>44.678873028317092</v>
      </c>
      <c r="E8" s="138">
        <v>44.384511647202324</v>
      </c>
      <c r="F8" s="138">
        <v>43.97135031647295</v>
      </c>
      <c r="G8" s="138">
        <v>43.800316142508763</v>
      </c>
      <c r="H8" s="138">
        <v>44.244896120466123</v>
      </c>
      <c r="I8" s="138">
        <v>43.512309843663985</v>
      </c>
      <c r="J8" s="138">
        <v>42.701859811474868</v>
      </c>
      <c r="K8" s="138">
        <v>41.154575896250847</v>
      </c>
      <c r="L8" s="138">
        <v>40.220680712271431</v>
      </c>
      <c r="M8" s="138">
        <v>39.227310702910714</v>
      </c>
      <c r="N8" s="138">
        <v>38.353003163757073</v>
      </c>
      <c r="O8" s="138">
        <v>38.076388865879657</v>
      </c>
      <c r="P8" s="138">
        <v>37.85862693711961</v>
      </c>
      <c r="Q8" s="138">
        <v>37.457858321101675</v>
      </c>
      <c r="R8" s="138">
        <v>37.506924549949453</v>
      </c>
      <c r="S8" s="138">
        <v>37.391460402658296</v>
      </c>
      <c r="T8" s="138">
        <v>36.89192652314496</v>
      </c>
      <c r="U8" s="138">
        <v>36.389576117662045</v>
      </c>
      <c r="V8" s="138">
        <v>36.095619204158062</v>
      </c>
      <c r="W8" s="138">
        <v>34.870884361456255</v>
      </c>
      <c r="X8" s="138">
        <v>35.218169875648982</v>
      </c>
      <c r="Y8" s="138">
        <v>35.367828705297619</v>
      </c>
      <c r="Z8" s="138">
        <v>35.658303957619935</v>
      </c>
      <c r="AA8" s="138">
        <v>34.990677346904448</v>
      </c>
      <c r="AB8" s="138">
        <v>34.76152215027156</v>
      </c>
      <c r="AC8" s="138">
        <v>33.85986882724675</v>
      </c>
      <c r="AD8" s="138">
        <v>33.61063769117704</v>
      </c>
      <c r="AE8" s="138">
        <v>33.099491105650856</v>
      </c>
      <c r="AF8" s="138">
        <v>32.716235090720239</v>
      </c>
      <c r="AG8" s="138">
        <v>32.362151778638975</v>
      </c>
      <c r="AH8" s="138">
        <v>32.378119162804467</v>
      </c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6" spans="1:3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</sheetData>
  <conditionalFormatting sqref="A5:AH6">
    <cfRule type="expression" dxfId="1" priority="2">
      <formula>ISERROR(A5)</formula>
    </cfRule>
  </conditionalFormatting>
  <conditionalFormatting sqref="A4:AH4 A7:AH7">
    <cfRule type="expression" dxfId="0" priority="1">
      <formula>ISERROR(A4)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FCA8-9C3C-4EAF-887B-964FFE075468}">
  <dimension ref="A1:D29"/>
  <sheetViews>
    <sheetView zoomScale="89" zoomScaleNormal="89" workbookViewId="0">
      <selection activeCell="B2" sqref="B2"/>
    </sheetView>
  </sheetViews>
  <sheetFormatPr baseColWidth="10" defaultColWidth="11.44140625" defaultRowHeight="14.4"/>
  <cols>
    <col min="1" max="16384" width="11.44140625" style="6"/>
  </cols>
  <sheetData>
    <row r="1" spans="1:4">
      <c r="A1" s="7" t="s">
        <v>296</v>
      </c>
      <c r="B1" s="7" t="s">
        <v>722</v>
      </c>
    </row>
    <row r="4" spans="1:4">
      <c r="B4" s="99">
        <v>2000</v>
      </c>
      <c r="C4" s="99">
        <v>2010</v>
      </c>
      <c r="D4" s="99">
        <v>2022</v>
      </c>
    </row>
    <row r="5" spans="1:4">
      <c r="A5" s="6" t="s">
        <v>328</v>
      </c>
      <c r="B5" s="55">
        <v>0.13999371955823106</v>
      </c>
      <c r="C5" s="55">
        <v>0.13745840638791032</v>
      </c>
      <c r="D5" s="48">
        <v>0.1197936271336154</v>
      </c>
    </row>
    <row r="6" spans="1:4">
      <c r="A6" s="6" t="s">
        <v>57</v>
      </c>
      <c r="B6" s="55">
        <v>0.13520408163265307</v>
      </c>
      <c r="C6" s="55">
        <v>0.13228155339805825</v>
      </c>
      <c r="D6" s="48">
        <v>0.11003119750419967</v>
      </c>
    </row>
    <row r="7" spans="1:4">
      <c r="A7" s="6" t="s">
        <v>55</v>
      </c>
      <c r="B7" s="55">
        <v>8.8301927679987388E-2</v>
      </c>
      <c r="C7" s="55">
        <v>0.1050140148916742</v>
      </c>
      <c r="D7" s="48">
        <v>0.10859016216991965</v>
      </c>
    </row>
    <row r="8" spans="1:4">
      <c r="A8" s="6" t="s">
        <v>329</v>
      </c>
      <c r="B8" s="55">
        <v>0.11142962146269754</v>
      </c>
      <c r="C8" s="55">
        <v>8.2042455536431441E-2</v>
      </c>
      <c r="D8" s="48">
        <v>9.635242552559245E-2</v>
      </c>
    </row>
    <row r="9" spans="1:4">
      <c r="A9" s="6" t="s">
        <v>330</v>
      </c>
      <c r="B9" s="55">
        <v>6.9344456678241712E-2</v>
      </c>
      <c r="C9" s="55">
        <v>0.11405538371611584</v>
      </c>
      <c r="D9" s="48">
        <v>9.7174156280086382E-2</v>
      </c>
    </row>
    <row r="10" spans="1:4">
      <c r="A10" s="6" t="s">
        <v>47</v>
      </c>
      <c r="B10" s="55">
        <v>0.10546905872125187</v>
      </c>
      <c r="C10" s="55">
        <v>8.115942028985508E-2</v>
      </c>
      <c r="D10" s="48">
        <v>9.3677590201919889E-2</v>
      </c>
    </row>
    <row r="11" spans="1:4">
      <c r="A11" s="6" t="s">
        <v>45</v>
      </c>
      <c r="B11" s="55">
        <v>7.9125441696113075E-2</v>
      </c>
      <c r="C11" s="55">
        <v>9.7691922523625213E-2</v>
      </c>
      <c r="D11" s="48">
        <v>8.2674084063008677E-2</v>
      </c>
    </row>
    <row r="12" spans="1:4">
      <c r="A12" s="6" t="s">
        <v>331</v>
      </c>
      <c r="B12" s="55"/>
      <c r="C12" s="55">
        <v>9.3993279659325302E-2</v>
      </c>
      <c r="D12" s="48">
        <v>8.2012993028396181E-2</v>
      </c>
    </row>
    <row r="13" spans="1:4">
      <c r="A13" s="6" t="s">
        <v>56</v>
      </c>
      <c r="B13" s="55">
        <v>0.13780000436767048</v>
      </c>
      <c r="C13" s="55">
        <v>0.13034744602887291</v>
      </c>
      <c r="D13" s="48">
        <v>7.9938079164068712E-2</v>
      </c>
    </row>
    <row r="14" spans="1:4">
      <c r="A14" s="6" t="s">
        <v>53</v>
      </c>
      <c r="B14" s="55">
        <v>8.0047710364585745E-2</v>
      </c>
      <c r="C14" s="55">
        <v>7.9811105161763971E-2</v>
      </c>
      <c r="D14" s="48">
        <v>7.2610229630446332E-2</v>
      </c>
    </row>
    <row r="15" spans="1:4">
      <c r="A15" s="6" t="s">
        <v>54</v>
      </c>
      <c r="B15" s="55">
        <v>9.7604259094942331E-2</v>
      </c>
      <c r="C15" s="55">
        <v>8.9508437270726326E-2</v>
      </c>
      <c r="D15" s="48">
        <v>7.063315303849825E-2</v>
      </c>
    </row>
    <row r="16" spans="1:4">
      <c r="A16" s="6" t="s">
        <v>43</v>
      </c>
      <c r="B16" s="55">
        <v>8.5186142709410551E-2</v>
      </c>
      <c r="C16" s="55">
        <v>7.4754098360655746E-2</v>
      </c>
      <c r="D16" s="48">
        <v>6.9096011565609322E-2</v>
      </c>
    </row>
    <row r="17" spans="1:4">
      <c r="A17" s="6" t="s">
        <v>51</v>
      </c>
      <c r="B17" s="55">
        <v>5.7495806008845511E-2</v>
      </c>
      <c r="C17" s="55">
        <v>7.7972755099656524E-2</v>
      </c>
      <c r="D17" s="48">
        <v>6.7249495628782782E-2</v>
      </c>
    </row>
    <row r="18" spans="1:4">
      <c r="A18" s="6" t="s">
        <v>44</v>
      </c>
      <c r="B18" s="55">
        <v>6.6374618345944505E-2</v>
      </c>
      <c r="C18" s="55">
        <v>7.2379083852256249E-2</v>
      </c>
      <c r="D18" s="48">
        <v>6.1034213660820638E-2</v>
      </c>
    </row>
    <row r="19" spans="1:4">
      <c r="A19" s="6" t="s">
        <v>62</v>
      </c>
      <c r="B19" s="55">
        <v>9.9965865314282934E-2</v>
      </c>
      <c r="C19" s="55">
        <v>8.4424909700161019E-2</v>
      </c>
      <c r="D19" s="48">
        <v>5.5790462767206957E-2</v>
      </c>
    </row>
    <row r="20" spans="1:4">
      <c r="A20" s="6" t="s">
        <v>48</v>
      </c>
      <c r="B20" s="55">
        <v>6.7862843304529685E-2</v>
      </c>
      <c r="C20" s="55">
        <v>6.6781136131281629E-2</v>
      </c>
      <c r="D20" s="48">
        <v>5.0984854706068679E-2</v>
      </c>
    </row>
    <row r="21" spans="1:4">
      <c r="A21" s="6" t="s">
        <v>60</v>
      </c>
      <c r="B21" s="55">
        <v>8.1737091886328536E-2</v>
      </c>
      <c r="C21" s="55">
        <v>7.6114094982019501E-2</v>
      </c>
      <c r="D21" s="48">
        <v>4.9862571333489453E-2</v>
      </c>
    </row>
    <row r="22" spans="1:4">
      <c r="A22" s="6" t="s">
        <v>40</v>
      </c>
      <c r="B22" s="55">
        <v>4.6689067987165565E-2</v>
      </c>
      <c r="C22" s="55">
        <v>5.373476501274943E-2</v>
      </c>
      <c r="D22" s="48">
        <v>3.8556210569862449E-2</v>
      </c>
    </row>
    <row r="23" spans="1:4">
      <c r="A23" s="6" t="s">
        <v>41</v>
      </c>
      <c r="B23" s="55">
        <v>4.9729220626324462E-2</v>
      </c>
      <c r="C23" s="55">
        <v>3.7406591507926225E-2</v>
      </c>
      <c r="D23" s="48">
        <v>3.1182296502630762E-2</v>
      </c>
    </row>
    <row r="29" spans="1:4">
      <c r="B29" s="55"/>
      <c r="C29" s="55"/>
      <c r="D29" s="5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044E-294F-424F-9530-D07A7818279E}">
  <dimension ref="A1:C21"/>
  <sheetViews>
    <sheetView zoomScaleNormal="100" workbookViewId="0">
      <selection activeCell="F21" sqref="F21"/>
    </sheetView>
  </sheetViews>
  <sheetFormatPr baseColWidth="10" defaultColWidth="11.44140625" defaultRowHeight="14.4"/>
  <cols>
    <col min="1" max="16384" width="11.44140625" style="6"/>
  </cols>
  <sheetData>
    <row r="1" spans="1:3">
      <c r="A1" s="7" t="s">
        <v>297</v>
      </c>
      <c r="B1" s="7" t="s">
        <v>721</v>
      </c>
    </row>
    <row r="4" spans="1:3">
      <c r="B4" s="6" t="s">
        <v>335</v>
      </c>
      <c r="C4" s="6" t="s">
        <v>334</v>
      </c>
    </row>
    <row r="5" spans="1:3">
      <c r="A5" s="6" t="s">
        <v>333</v>
      </c>
      <c r="B5" s="6">
        <v>682662</v>
      </c>
      <c r="C5" s="21">
        <v>24.064848630127329</v>
      </c>
    </row>
    <row r="6" spans="1:3">
      <c r="A6" s="6">
        <v>2</v>
      </c>
      <c r="B6" s="6">
        <v>812335</v>
      </c>
      <c r="C6" s="21">
        <v>28.636014326203135</v>
      </c>
    </row>
    <row r="7" spans="1:3">
      <c r="A7" s="6">
        <v>3</v>
      </c>
      <c r="B7" s="6">
        <v>634570</v>
      </c>
      <c r="C7" s="21">
        <v>22.369534257392239</v>
      </c>
    </row>
    <row r="8" spans="1:3">
      <c r="A8" s="6">
        <v>4</v>
      </c>
      <c r="B8" s="6">
        <v>356135</v>
      </c>
      <c r="C8" s="21">
        <v>12.55428728549472</v>
      </c>
    </row>
    <row r="9" spans="1:3">
      <c r="A9" s="6">
        <v>5</v>
      </c>
      <c r="B9" s="6">
        <v>255622</v>
      </c>
      <c r="C9" s="21">
        <v>9.0110548654098341</v>
      </c>
    </row>
    <row r="10" spans="1:3">
      <c r="A10" s="6" t="s">
        <v>332</v>
      </c>
      <c r="B10" s="6">
        <v>95436</v>
      </c>
      <c r="C10" s="21">
        <v>3.3642606353727489</v>
      </c>
    </row>
    <row r="15" spans="1:3">
      <c r="B15" s="96"/>
      <c r="C15" s="21"/>
    </row>
    <row r="16" spans="1:3">
      <c r="B16" s="96"/>
      <c r="C16" s="21"/>
    </row>
    <row r="17" spans="2:3">
      <c r="B17" s="96"/>
      <c r="C17" s="21"/>
    </row>
    <row r="18" spans="2:3">
      <c r="B18" s="96"/>
      <c r="C18" s="21"/>
    </row>
    <row r="19" spans="2:3">
      <c r="B19" s="96"/>
      <c r="C19" s="21"/>
    </row>
    <row r="20" spans="2:3">
      <c r="B20" s="96"/>
      <c r="C20" s="21"/>
    </row>
    <row r="21" spans="2:3">
      <c r="B21" s="50"/>
      <c r="C21" s="2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E2EE-99EF-43F4-B142-CA51FFA3A552}">
  <dimension ref="A1:C9"/>
  <sheetViews>
    <sheetView workbookViewId="0">
      <selection activeCell="B2" sqref="B2"/>
    </sheetView>
  </sheetViews>
  <sheetFormatPr baseColWidth="10" defaultColWidth="11.44140625" defaultRowHeight="14.4"/>
  <cols>
    <col min="1" max="16384" width="11.44140625" style="6"/>
  </cols>
  <sheetData>
    <row r="1" spans="1:3">
      <c r="A1" s="7" t="s">
        <v>298</v>
      </c>
      <c r="B1" s="7" t="s">
        <v>720</v>
      </c>
    </row>
    <row r="3" spans="1:3">
      <c r="A3" s="6" t="s">
        <v>344</v>
      </c>
      <c r="B3" s="6" t="s">
        <v>343</v>
      </c>
      <c r="C3" s="6" t="s">
        <v>342</v>
      </c>
    </row>
    <row r="4" spans="1:3">
      <c r="A4" s="6" t="s">
        <v>341</v>
      </c>
      <c r="B4" s="48">
        <v>0.49153132017101242</v>
      </c>
      <c r="C4" s="48">
        <v>0</v>
      </c>
    </row>
    <row r="5" spans="1:3">
      <c r="A5" s="6" t="s">
        <v>340</v>
      </c>
      <c r="B5" s="48">
        <v>0.43814312945824024</v>
      </c>
      <c r="C5" s="48">
        <v>0.24018485964155806</v>
      </c>
    </row>
    <row r="6" spans="1:3">
      <c r="A6" s="6" t="s">
        <v>339</v>
      </c>
      <c r="B6" s="48">
        <v>3.9363332384542177E-2</v>
      </c>
      <c r="C6" s="48">
        <v>0.11887689833305043</v>
      </c>
    </row>
    <row r="7" spans="1:3">
      <c r="A7" s="6" t="s">
        <v>338</v>
      </c>
      <c r="B7" s="48">
        <v>2.61118826029079E-2</v>
      </c>
      <c r="C7" s="48">
        <v>0.22377681046878933</v>
      </c>
    </row>
    <row r="8" spans="1:3">
      <c r="A8" s="6" t="s">
        <v>337</v>
      </c>
      <c r="B8" s="48">
        <v>3.0907590616743E-3</v>
      </c>
      <c r="C8" s="48">
        <v>0.10522769590771065</v>
      </c>
    </row>
    <row r="9" spans="1:3">
      <c r="A9" s="6" t="s">
        <v>336</v>
      </c>
      <c r="B9" s="48">
        <v>1.7595763216229504E-3</v>
      </c>
      <c r="C9" s="48">
        <v>0.31193373564889154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3461-52EC-490E-BA12-68B23BB7B09C}">
  <dimension ref="A1:AC10"/>
  <sheetViews>
    <sheetView zoomScale="90" zoomScaleNormal="90" workbookViewId="0">
      <selection activeCell="N25" sqref="N25"/>
    </sheetView>
  </sheetViews>
  <sheetFormatPr baseColWidth="10" defaultColWidth="11.44140625" defaultRowHeight="14.4"/>
  <cols>
    <col min="1" max="16384" width="11.44140625" style="6"/>
  </cols>
  <sheetData>
    <row r="1" spans="1:29">
      <c r="A1" s="7" t="s">
        <v>299</v>
      </c>
      <c r="B1" s="7" t="s">
        <v>719</v>
      </c>
    </row>
    <row r="3" spans="1:29">
      <c r="B3" s="6">
        <v>1997</v>
      </c>
      <c r="C3" s="6">
        <v>1998</v>
      </c>
      <c r="D3" s="6">
        <v>1999</v>
      </c>
      <c r="E3" s="6">
        <v>2000</v>
      </c>
      <c r="F3" s="6">
        <v>2001</v>
      </c>
      <c r="G3" s="6">
        <v>2002</v>
      </c>
      <c r="H3" s="6">
        <v>2003</v>
      </c>
      <c r="I3" s="6">
        <v>2004</v>
      </c>
      <c r="J3" s="6">
        <v>2005</v>
      </c>
      <c r="K3" s="6">
        <v>2006</v>
      </c>
      <c r="L3" s="6">
        <v>2007</v>
      </c>
      <c r="M3" s="6">
        <v>2008</v>
      </c>
      <c r="N3" s="99">
        <v>2009</v>
      </c>
      <c r="O3" s="99">
        <v>2010</v>
      </c>
      <c r="P3" s="99">
        <v>2011</v>
      </c>
      <c r="Q3" s="99">
        <v>2012</v>
      </c>
      <c r="R3" s="99">
        <v>2013</v>
      </c>
      <c r="S3" s="99">
        <v>2014</v>
      </c>
      <c r="T3" s="99">
        <v>2012</v>
      </c>
      <c r="U3" s="99">
        <v>2015</v>
      </c>
      <c r="V3" s="99">
        <v>2016</v>
      </c>
      <c r="W3" s="99">
        <v>2017</v>
      </c>
      <c r="X3" s="99">
        <v>2018</v>
      </c>
      <c r="Y3" s="99">
        <v>2019</v>
      </c>
      <c r="Z3" s="99">
        <v>2020</v>
      </c>
      <c r="AA3" s="99">
        <v>2021</v>
      </c>
      <c r="AB3" s="99">
        <v>2022</v>
      </c>
      <c r="AC3" s="99">
        <v>2023</v>
      </c>
    </row>
    <row r="4" spans="1:29">
      <c r="A4" s="6" t="s">
        <v>331</v>
      </c>
      <c r="E4" s="6">
        <v>65.5</v>
      </c>
      <c r="F4" s="6">
        <v>65.8</v>
      </c>
      <c r="G4" s="6">
        <v>65.7</v>
      </c>
      <c r="H4" s="6">
        <v>66</v>
      </c>
      <c r="I4" s="6">
        <v>66.3</v>
      </c>
      <c r="J4" s="6">
        <v>66.8</v>
      </c>
      <c r="K4" s="6">
        <v>68</v>
      </c>
      <c r="L4" s="6">
        <v>69</v>
      </c>
      <c r="M4" s="6">
        <v>69.5</v>
      </c>
      <c r="N4" s="6">
        <v>67.3</v>
      </c>
      <c r="O4" s="6">
        <v>67</v>
      </c>
      <c r="P4" s="6">
        <v>67.099999999999994</v>
      </c>
      <c r="Q4" s="6">
        <v>66.900000000000006</v>
      </c>
      <c r="R4" s="6">
        <v>66.8</v>
      </c>
      <c r="S4" s="6">
        <v>67.5</v>
      </c>
      <c r="T4" s="6">
        <v>66.900000000000006</v>
      </c>
      <c r="U4" s="6">
        <v>68.5</v>
      </c>
      <c r="V4" s="6">
        <v>69.599999999999994</v>
      </c>
      <c r="W4" s="6">
        <v>70.900000000000006</v>
      </c>
      <c r="X4" s="6">
        <v>71.900000000000006</v>
      </c>
      <c r="Y4" s="6">
        <v>72.7</v>
      </c>
      <c r="Z4" s="6">
        <v>71.7</v>
      </c>
      <c r="AA4" s="6">
        <v>73</v>
      </c>
      <c r="AB4" s="6">
        <v>74.599999999999994</v>
      </c>
      <c r="AC4" s="6">
        <v>75.400000000000006</v>
      </c>
    </row>
    <row r="5" spans="1:29">
      <c r="A5" s="6" t="s">
        <v>47</v>
      </c>
      <c r="B5" s="6">
        <v>66.8</v>
      </c>
      <c r="C5" s="6">
        <v>67.099999999999994</v>
      </c>
      <c r="D5" s="6">
        <v>68.099999999999994</v>
      </c>
      <c r="E5" s="6">
        <v>68.7</v>
      </c>
      <c r="F5" s="6">
        <v>68.900000000000006</v>
      </c>
      <c r="G5" s="6">
        <v>68.7</v>
      </c>
      <c r="H5" s="6">
        <v>68.3</v>
      </c>
      <c r="I5" s="6">
        <v>68.2</v>
      </c>
      <c r="J5" s="6">
        <v>69.400000000000006</v>
      </c>
      <c r="K5" s="6">
        <v>71.099999999999994</v>
      </c>
      <c r="L5" s="6">
        <v>72.900000000000006</v>
      </c>
      <c r="M5" s="6">
        <v>74</v>
      </c>
      <c r="N5" s="6">
        <v>76.099999999999994</v>
      </c>
      <c r="O5" s="6">
        <v>74.900000000000006</v>
      </c>
      <c r="P5" s="6">
        <v>74.8</v>
      </c>
      <c r="Q5" s="6">
        <v>74.3</v>
      </c>
      <c r="R5" s="6">
        <v>74.3</v>
      </c>
      <c r="S5" s="6">
        <v>74.7</v>
      </c>
      <c r="T5" s="6">
        <v>74.3</v>
      </c>
      <c r="U5" s="6">
        <v>75.400000000000006</v>
      </c>
      <c r="V5" s="6">
        <v>76</v>
      </c>
      <c r="W5" s="6">
        <v>76.599999999999994</v>
      </c>
      <c r="X5" s="6">
        <v>77.5</v>
      </c>
      <c r="Y5" s="6">
        <v>78.3</v>
      </c>
      <c r="Z5" s="6">
        <v>77.8</v>
      </c>
      <c r="AA5" s="6">
        <v>79.099999999999994</v>
      </c>
      <c r="AB5" s="6">
        <v>80.099999999999994</v>
      </c>
      <c r="AC5" s="6">
        <v>79.8</v>
      </c>
    </row>
    <row r="6" spans="1:29">
      <c r="A6" s="6" t="s">
        <v>53</v>
      </c>
      <c r="B6" s="6">
        <v>76.5</v>
      </c>
      <c r="C6" s="6">
        <v>77.099999999999994</v>
      </c>
      <c r="D6" s="6">
        <v>77.7</v>
      </c>
      <c r="E6" s="6">
        <v>78</v>
      </c>
      <c r="F6" s="6">
        <v>78.3</v>
      </c>
      <c r="G6" s="6">
        <v>77.7</v>
      </c>
      <c r="H6" s="6">
        <v>77.3</v>
      </c>
      <c r="I6" s="6">
        <v>77.599999999999994</v>
      </c>
      <c r="J6" s="6">
        <v>78</v>
      </c>
      <c r="K6" s="6">
        <v>79.400000000000006</v>
      </c>
      <c r="L6" s="6">
        <v>79</v>
      </c>
      <c r="M6" s="6">
        <v>78.7</v>
      </c>
      <c r="N6" s="6">
        <v>73.2</v>
      </c>
      <c r="O6" s="6">
        <v>74</v>
      </c>
      <c r="P6" s="6">
        <v>75.400000000000006</v>
      </c>
      <c r="Q6" s="6">
        <v>75.8</v>
      </c>
      <c r="R6" s="6">
        <v>76.3</v>
      </c>
      <c r="S6" s="6">
        <v>76.7</v>
      </c>
      <c r="T6" s="6">
        <v>75.8</v>
      </c>
      <c r="U6" s="6">
        <v>76.900000000000006</v>
      </c>
      <c r="V6" s="6">
        <v>77.599999999999994</v>
      </c>
      <c r="W6" s="6">
        <v>78.2</v>
      </c>
      <c r="X6" s="6">
        <v>78.900000000000006</v>
      </c>
      <c r="Y6" s="6">
        <v>79.599999999999994</v>
      </c>
      <c r="Z6" s="6">
        <v>78.2</v>
      </c>
      <c r="AA6" s="6">
        <v>79.400000000000006</v>
      </c>
      <c r="AB6" s="6">
        <v>80.7</v>
      </c>
      <c r="AC6" s="6">
        <v>81.3</v>
      </c>
    </row>
    <row r="7" spans="1:29">
      <c r="A7" s="6" t="s">
        <v>48</v>
      </c>
      <c r="B7" s="6">
        <v>70.2</v>
      </c>
      <c r="C7" s="6">
        <v>71.7</v>
      </c>
      <c r="D7" s="6">
        <v>73</v>
      </c>
      <c r="E7" s="6">
        <v>74.3</v>
      </c>
      <c r="F7" s="6">
        <v>75.400000000000006</v>
      </c>
      <c r="G7" s="6">
        <v>75.8</v>
      </c>
      <c r="H7" s="6">
        <v>75.2</v>
      </c>
      <c r="I7" s="6">
        <v>74.900000000000006</v>
      </c>
      <c r="J7" s="6">
        <v>72.7</v>
      </c>
      <c r="K7" s="6">
        <v>73.7</v>
      </c>
      <c r="L7" s="6">
        <v>75.5</v>
      </c>
      <c r="M7" s="6">
        <v>76.900000000000006</v>
      </c>
      <c r="N7" s="6">
        <v>77.599999999999994</v>
      </c>
      <c r="O7" s="6">
        <v>77</v>
      </c>
      <c r="P7" s="6">
        <v>77.2</v>
      </c>
      <c r="Q7" s="6">
        <v>77.5</v>
      </c>
      <c r="R7" s="6">
        <v>76.7</v>
      </c>
      <c r="S7" s="6">
        <v>76.3</v>
      </c>
      <c r="T7" s="6">
        <v>77.5</v>
      </c>
      <c r="U7" s="6">
        <v>77.2</v>
      </c>
      <c r="V7" s="6">
        <v>77.900000000000006</v>
      </c>
      <c r="W7" s="6">
        <v>78.900000000000006</v>
      </c>
      <c r="X7" s="6">
        <v>80</v>
      </c>
      <c r="Y7" s="6">
        <v>81</v>
      </c>
      <c r="Z7" s="6">
        <v>80.8</v>
      </c>
      <c r="AA7" s="6">
        <v>81.7</v>
      </c>
      <c r="AB7" s="6">
        <v>82.9</v>
      </c>
      <c r="AC7" s="6">
        <v>83.5</v>
      </c>
    </row>
    <row r="8" spans="1:29">
      <c r="A8" s="6" t="s">
        <v>44</v>
      </c>
      <c r="B8" s="6">
        <v>66.7</v>
      </c>
      <c r="C8" s="6">
        <v>68.7</v>
      </c>
      <c r="D8" s="6">
        <v>70.7</v>
      </c>
      <c r="E8" s="6">
        <v>71.599999999999994</v>
      </c>
      <c r="F8" s="6">
        <v>72.599999999999994</v>
      </c>
      <c r="G8" s="6">
        <v>72.599999999999994</v>
      </c>
      <c r="H8" s="6">
        <v>72.2</v>
      </c>
      <c r="I8" s="6">
        <v>72.2</v>
      </c>
      <c r="J8" s="6">
        <v>73</v>
      </c>
      <c r="K8" s="6">
        <v>73.900000000000006</v>
      </c>
      <c r="L8" s="6">
        <v>74.8</v>
      </c>
      <c r="M8" s="6">
        <v>75.8</v>
      </c>
      <c r="N8" s="6">
        <v>72.599999999999994</v>
      </c>
      <c r="O8" s="6">
        <v>71.900000000000006</v>
      </c>
      <c r="P8" s="6">
        <v>72.7</v>
      </c>
      <c r="Q8" s="6">
        <v>73</v>
      </c>
      <c r="R8" s="6">
        <v>72.5</v>
      </c>
      <c r="S8" s="6">
        <v>72.2</v>
      </c>
      <c r="T8" s="6">
        <v>73</v>
      </c>
      <c r="U8" s="6">
        <v>71.8</v>
      </c>
      <c r="V8" s="6">
        <v>72.400000000000006</v>
      </c>
      <c r="W8" s="6">
        <v>73.2</v>
      </c>
      <c r="X8" s="6">
        <v>75.3</v>
      </c>
      <c r="Y8" s="6">
        <v>76.2</v>
      </c>
      <c r="Z8" s="6">
        <v>75.5</v>
      </c>
      <c r="AA8" s="6">
        <v>76.8</v>
      </c>
      <c r="AB8" s="6">
        <v>78.400000000000006</v>
      </c>
      <c r="AC8" s="6">
        <v>78.2</v>
      </c>
    </row>
    <row r="9" spans="1:29">
      <c r="A9" s="6" t="s">
        <v>40</v>
      </c>
      <c r="B9" s="6">
        <v>73.7</v>
      </c>
      <c r="C9" s="6">
        <v>74.2</v>
      </c>
      <c r="D9" s="6">
        <v>75.7</v>
      </c>
      <c r="E9" s="6">
        <v>76.8</v>
      </c>
      <c r="F9" s="6">
        <v>78.7</v>
      </c>
      <c r="G9" s="6">
        <v>78.5</v>
      </c>
      <c r="H9" s="6">
        <v>77.900000000000006</v>
      </c>
      <c r="I9" s="6">
        <v>77.400000000000006</v>
      </c>
      <c r="J9" s="6">
        <v>77.900000000000006</v>
      </c>
      <c r="K9" s="6">
        <v>78.8</v>
      </c>
      <c r="L9" s="6">
        <v>80.099999999999994</v>
      </c>
      <c r="M9" s="6">
        <v>80.400000000000006</v>
      </c>
      <c r="N9" s="6">
        <v>77.7</v>
      </c>
      <c r="O9" s="6">
        <v>77.5</v>
      </c>
      <c r="P9" s="6">
        <v>78.8</v>
      </c>
      <c r="Q9" s="6">
        <v>78.900000000000006</v>
      </c>
      <c r="R9" s="6">
        <v>79.2</v>
      </c>
      <c r="S9" s="6">
        <v>79.400000000000006</v>
      </c>
      <c r="T9" s="6">
        <v>78.900000000000006</v>
      </c>
      <c r="U9" s="6">
        <v>79.900000000000006</v>
      </c>
      <c r="V9" s="6">
        <v>80.599999999999994</v>
      </c>
      <c r="W9" s="6">
        <v>81.2</v>
      </c>
      <c r="X9" s="6">
        <v>81.8</v>
      </c>
      <c r="Y9" s="6">
        <v>81.5</v>
      </c>
      <c r="Z9" s="6">
        <v>80.099999999999994</v>
      </c>
      <c r="AA9" s="6">
        <v>80.7</v>
      </c>
      <c r="AB9" s="6">
        <v>82.2</v>
      </c>
      <c r="AC9" s="6">
        <v>82.7</v>
      </c>
    </row>
    <row r="10" spans="1:29">
      <c r="A10" s="6" t="s">
        <v>41</v>
      </c>
      <c r="B10" s="6">
        <v>79.8</v>
      </c>
      <c r="C10" s="6">
        <v>81</v>
      </c>
      <c r="D10" s="6">
        <v>80.599999999999994</v>
      </c>
      <c r="E10" s="6">
        <v>80.3</v>
      </c>
      <c r="F10" s="6">
        <v>80.099999999999994</v>
      </c>
      <c r="G10" s="6">
        <v>79.599999999999994</v>
      </c>
      <c r="H10" s="6">
        <v>78.400000000000006</v>
      </c>
      <c r="I10" s="6">
        <v>78.2</v>
      </c>
      <c r="J10" s="6">
        <v>78.2</v>
      </c>
      <c r="K10" s="6">
        <v>79.5</v>
      </c>
      <c r="L10" s="6">
        <v>80.900000000000006</v>
      </c>
      <c r="M10" s="6">
        <v>81.8</v>
      </c>
      <c r="N10" s="6">
        <v>80.900000000000006</v>
      </c>
      <c r="O10" s="6">
        <v>80</v>
      </c>
      <c r="P10" s="6">
        <v>80.400000000000006</v>
      </c>
      <c r="Q10" s="6">
        <v>80.400000000000006</v>
      </c>
      <c r="R10" s="6">
        <v>80.2</v>
      </c>
      <c r="S10" s="6">
        <v>80.099999999999994</v>
      </c>
      <c r="T10" s="6">
        <v>80.400000000000006</v>
      </c>
      <c r="U10" s="6">
        <v>79.7</v>
      </c>
      <c r="V10" s="6">
        <v>79.400000000000006</v>
      </c>
      <c r="W10" s="6">
        <v>79.2</v>
      </c>
      <c r="X10" s="6">
        <v>80</v>
      </c>
      <c r="Y10" s="6">
        <v>80.2</v>
      </c>
      <c r="Z10" s="6">
        <v>79.7</v>
      </c>
      <c r="AA10" s="6">
        <v>80</v>
      </c>
      <c r="AB10" s="6">
        <v>80.900000000000006</v>
      </c>
      <c r="AC10" s="6">
        <v>80.400000000000006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5C69-A553-4872-911A-430EAFFECE04}">
  <dimension ref="A1:B19"/>
  <sheetViews>
    <sheetView workbookViewId="0">
      <selection activeCell="E10" sqref="E10"/>
    </sheetView>
  </sheetViews>
  <sheetFormatPr baseColWidth="10" defaultColWidth="11.44140625" defaultRowHeight="14.4"/>
  <cols>
    <col min="1" max="16384" width="11.44140625" style="6"/>
  </cols>
  <sheetData>
    <row r="1" spans="1:2">
      <c r="A1" s="7" t="s">
        <v>300</v>
      </c>
      <c r="B1" s="7" t="s">
        <v>718</v>
      </c>
    </row>
    <row r="4" spans="1:2">
      <c r="A4" s="6" t="s">
        <v>48</v>
      </c>
      <c r="B4" s="6">
        <v>76.5</v>
      </c>
    </row>
    <row r="5" spans="1:2">
      <c r="A5" s="6" t="s">
        <v>41</v>
      </c>
      <c r="B5" s="6">
        <v>58.5</v>
      </c>
    </row>
    <row r="6" spans="1:2">
      <c r="A6" s="6" t="s">
        <v>47</v>
      </c>
      <c r="B6" s="6">
        <v>57</v>
      </c>
    </row>
    <row r="7" spans="1:2">
      <c r="A7" s="6" t="s">
        <v>53</v>
      </c>
      <c r="B7" s="6">
        <v>50.8</v>
      </c>
    </row>
    <row r="8" spans="1:2">
      <c r="A8" s="6" t="s">
        <v>44</v>
      </c>
      <c r="B8" s="6">
        <v>45.9</v>
      </c>
    </row>
    <row r="9" spans="1:2">
      <c r="A9" s="6" t="s">
        <v>40</v>
      </c>
      <c r="B9" s="6">
        <v>44.8</v>
      </c>
    </row>
    <row r="10" spans="1:2">
      <c r="A10" s="6" t="s">
        <v>331</v>
      </c>
      <c r="B10" s="6">
        <v>35.200000000000003</v>
      </c>
    </row>
    <row r="11" spans="1:2">
      <c r="A11" s="6" t="s">
        <v>45</v>
      </c>
      <c r="B11" s="6">
        <v>35.200000000000003</v>
      </c>
    </row>
    <row r="12" spans="1:2">
      <c r="A12" s="6" t="s">
        <v>346</v>
      </c>
      <c r="B12" s="6">
        <v>28.2</v>
      </c>
    </row>
    <row r="13" spans="1:2">
      <c r="A13" s="6" t="s">
        <v>46</v>
      </c>
      <c r="B13" s="6">
        <v>23.6</v>
      </c>
    </row>
    <row r="14" spans="1:2">
      <c r="A14" s="6" t="s">
        <v>345</v>
      </c>
      <c r="B14" s="6">
        <v>20.399999999999999</v>
      </c>
    </row>
    <row r="15" spans="1:2">
      <c r="A15" s="6" t="s">
        <v>51</v>
      </c>
      <c r="B15" s="6">
        <v>18.3</v>
      </c>
    </row>
    <row r="19" spans="1:1">
      <c r="A19" s="9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63E8-6C90-4195-B154-765D64B8479E}">
  <dimension ref="A1:B15"/>
  <sheetViews>
    <sheetView workbookViewId="0">
      <selection activeCell="D12" sqref="D12"/>
    </sheetView>
  </sheetViews>
  <sheetFormatPr baseColWidth="10" defaultColWidth="11.44140625" defaultRowHeight="14.4"/>
  <cols>
    <col min="1" max="16384" width="11.44140625" style="6"/>
  </cols>
  <sheetData>
    <row r="1" spans="1:2">
      <c r="A1" s="7" t="s">
        <v>301</v>
      </c>
      <c r="B1" s="7" t="s">
        <v>302</v>
      </c>
    </row>
    <row r="4" spans="1:2">
      <c r="A4" s="6" t="s">
        <v>40</v>
      </c>
      <c r="B4" s="6">
        <v>78</v>
      </c>
    </row>
    <row r="5" spans="1:2">
      <c r="A5" s="6" t="s">
        <v>48</v>
      </c>
      <c r="B5" s="6">
        <v>75</v>
      </c>
    </row>
    <row r="6" spans="1:2">
      <c r="A6" s="6" t="s">
        <v>53</v>
      </c>
      <c r="B6" s="6">
        <v>74.599999999999994</v>
      </c>
    </row>
    <row r="7" spans="1:2">
      <c r="A7" s="6" t="s">
        <v>47</v>
      </c>
      <c r="B7" s="6">
        <v>74.2</v>
      </c>
    </row>
    <row r="8" spans="1:2">
      <c r="A8" s="6" t="s">
        <v>41</v>
      </c>
      <c r="B8" s="6">
        <v>73.8</v>
      </c>
    </row>
    <row r="9" spans="1:2">
      <c r="A9" s="6" t="s">
        <v>44</v>
      </c>
      <c r="B9" s="6">
        <v>71.7</v>
      </c>
    </row>
    <row r="10" spans="1:2">
      <c r="A10" s="6" t="s">
        <v>346</v>
      </c>
      <c r="B10" s="6">
        <v>67.099999999999994</v>
      </c>
    </row>
    <row r="11" spans="1:2">
      <c r="A11" s="6" t="s">
        <v>331</v>
      </c>
      <c r="B11" s="6">
        <v>63.9</v>
      </c>
    </row>
    <row r="12" spans="1:2">
      <c r="A12" s="6" t="s">
        <v>46</v>
      </c>
      <c r="B12" s="6">
        <v>59.5</v>
      </c>
    </row>
    <row r="13" spans="1:2">
      <c r="A13" s="6" t="s">
        <v>45</v>
      </c>
      <c r="B13" s="6">
        <v>58.4</v>
      </c>
    </row>
    <row r="14" spans="1:2">
      <c r="A14" s="6" t="s">
        <v>345</v>
      </c>
      <c r="B14" s="6">
        <v>57.3</v>
      </c>
    </row>
    <row r="15" spans="1:2">
      <c r="A15" s="6" t="s">
        <v>51</v>
      </c>
      <c r="B15" s="6">
        <v>54.1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4192-E053-44E0-BBCE-C2231446F97E}">
  <dimension ref="A1:C7"/>
  <sheetViews>
    <sheetView workbookViewId="0">
      <selection activeCell="C16" sqref="C16"/>
    </sheetView>
  </sheetViews>
  <sheetFormatPr baseColWidth="10" defaultColWidth="11.44140625" defaultRowHeight="14.4"/>
  <cols>
    <col min="1" max="1" width="11.44140625" style="6"/>
    <col min="2" max="4" width="20.88671875" style="6" customWidth="1"/>
    <col min="5" max="16384" width="11.44140625" style="6"/>
  </cols>
  <sheetData>
    <row r="1" spans="1:3">
      <c r="A1" s="7" t="s">
        <v>414</v>
      </c>
      <c r="B1" s="7" t="s">
        <v>734</v>
      </c>
    </row>
    <row r="4" spans="1:3">
      <c r="B4" s="6" t="s">
        <v>425</v>
      </c>
      <c r="C4" s="6" t="s">
        <v>424</v>
      </c>
    </row>
    <row r="5" spans="1:3">
      <c r="A5" s="6">
        <v>1997</v>
      </c>
      <c r="B5" s="4">
        <v>1.28</v>
      </c>
      <c r="C5" s="106">
        <v>1.94</v>
      </c>
    </row>
    <row r="6" spans="1:3">
      <c r="A6" s="6">
        <v>2015</v>
      </c>
      <c r="B6" s="4">
        <v>1.44</v>
      </c>
      <c r="C6" s="106">
        <v>2.33</v>
      </c>
    </row>
    <row r="7" spans="1:3">
      <c r="A7" s="6">
        <v>2023</v>
      </c>
      <c r="B7" s="4">
        <v>1.43</v>
      </c>
      <c r="C7" s="106">
        <v>2.34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9255-8917-4620-834E-CD27E8DDD019}">
  <dimension ref="A1:D11"/>
  <sheetViews>
    <sheetView workbookViewId="0">
      <selection activeCell="A11" sqref="A11"/>
    </sheetView>
  </sheetViews>
  <sheetFormatPr baseColWidth="10" defaultColWidth="11.44140625" defaultRowHeight="14.4"/>
  <cols>
    <col min="1" max="16384" width="11.44140625" style="6"/>
  </cols>
  <sheetData>
    <row r="1" spans="1:4">
      <c r="A1" s="7" t="s">
        <v>303</v>
      </c>
      <c r="B1" s="7" t="s">
        <v>304</v>
      </c>
    </row>
    <row r="4" spans="1:4">
      <c r="A4" s="55"/>
      <c r="B4" s="49">
        <v>1997</v>
      </c>
      <c r="C4" s="49">
        <v>2010</v>
      </c>
      <c r="D4" s="49">
        <v>2023</v>
      </c>
    </row>
    <row r="5" spans="1:4">
      <c r="A5" s="55" t="s">
        <v>353</v>
      </c>
      <c r="B5" s="192">
        <v>3.6902050113895218E-2</v>
      </c>
      <c r="C5" s="192">
        <v>4.6837469975980782E-2</v>
      </c>
      <c r="D5" s="192">
        <v>5.3198887343532682E-2</v>
      </c>
    </row>
    <row r="6" spans="1:4">
      <c r="A6" s="55" t="s">
        <v>352</v>
      </c>
      <c r="B6" s="192">
        <v>0.09</v>
      </c>
      <c r="C6" s="192">
        <v>0.08</v>
      </c>
      <c r="D6" s="192">
        <v>0.08</v>
      </c>
    </row>
    <row r="7" spans="1:4">
      <c r="A7" s="55" t="s">
        <v>351</v>
      </c>
      <c r="B7" s="192">
        <v>0.12</v>
      </c>
      <c r="C7" s="192">
        <v>0.1</v>
      </c>
      <c r="D7" s="192">
        <v>0.11</v>
      </c>
    </row>
    <row r="8" spans="1:4">
      <c r="A8" s="55" t="s">
        <v>350</v>
      </c>
      <c r="B8" s="192">
        <v>0.38314350797266516</v>
      </c>
      <c r="C8" s="192">
        <v>0.35988791032826262</v>
      </c>
      <c r="D8" s="192">
        <v>0.33518776077885953</v>
      </c>
    </row>
    <row r="9" spans="1:4">
      <c r="A9" s="55" t="s">
        <v>349</v>
      </c>
      <c r="B9" s="192">
        <v>0.23325740318906607</v>
      </c>
      <c r="C9" s="192">
        <v>0.22177742193755004</v>
      </c>
      <c r="D9" s="192">
        <v>0.20897079276773295</v>
      </c>
    </row>
    <row r="10" spans="1:4">
      <c r="A10" s="55" t="s">
        <v>348</v>
      </c>
      <c r="B10" s="192">
        <v>0.11480637813211846</v>
      </c>
      <c r="C10" s="192">
        <v>0.16172938350680544</v>
      </c>
      <c r="D10" s="192">
        <v>0.17315716272600834</v>
      </c>
    </row>
    <row r="11" spans="1:4">
      <c r="A11" s="55" t="s">
        <v>347</v>
      </c>
      <c r="B11" s="192">
        <v>1.8223234624145785E-2</v>
      </c>
      <c r="C11" s="192">
        <v>2.7622097678142513E-2</v>
      </c>
      <c r="D11" s="192">
        <v>4.2767732962447846E-2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693E-835B-4188-9540-04EAD9307B0D}">
  <dimension ref="A1:B22"/>
  <sheetViews>
    <sheetView zoomScale="110" zoomScaleNormal="110" workbookViewId="0">
      <selection activeCell="B3" sqref="B3"/>
    </sheetView>
  </sheetViews>
  <sheetFormatPr baseColWidth="10" defaultColWidth="11.44140625" defaultRowHeight="14.4"/>
  <cols>
    <col min="1" max="1" width="11.44140625" style="6"/>
    <col min="2" max="2" width="27.109375" style="6" customWidth="1"/>
    <col min="3" max="16384" width="11.44140625" style="6"/>
  </cols>
  <sheetData>
    <row r="1" spans="1:2">
      <c r="A1" s="7" t="s">
        <v>305</v>
      </c>
      <c r="B1" s="7" t="s">
        <v>306</v>
      </c>
    </row>
    <row r="4" spans="1:2">
      <c r="A4" s="6" t="s">
        <v>60</v>
      </c>
      <c r="B4" s="6">
        <v>937.1</v>
      </c>
    </row>
    <row r="5" spans="1:2">
      <c r="A5" s="6" t="s">
        <v>51</v>
      </c>
      <c r="B5" s="6">
        <v>921.8</v>
      </c>
    </row>
    <row r="6" spans="1:2">
      <c r="A6" s="6" t="s">
        <v>56</v>
      </c>
      <c r="B6" s="6">
        <v>893.5</v>
      </c>
    </row>
    <row r="7" spans="1:2">
      <c r="A7" s="6" t="s">
        <v>43</v>
      </c>
      <c r="B7" s="6">
        <v>827.6</v>
      </c>
    </row>
    <row r="8" spans="1:2">
      <c r="A8" s="6" t="s">
        <v>48</v>
      </c>
      <c r="B8" s="6">
        <v>808.6</v>
      </c>
    </row>
    <row r="9" spans="1:2">
      <c r="A9" s="6" t="s">
        <v>42</v>
      </c>
      <c r="B9" s="6">
        <v>807.9</v>
      </c>
    </row>
    <row r="10" spans="1:2">
      <c r="A10" s="6" t="s">
        <v>40</v>
      </c>
      <c r="B10" s="6">
        <v>796</v>
      </c>
    </row>
    <row r="11" spans="1:2">
      <c r="A11" s="6" t="s">
        <v>354</v>
      </c>
      <c r="B11" s="6">
        <v>769.7</v>
      </c>
    </row>
    <row r="12" spans="1:2">
      <c r="A12" s="6" t="s">
        <v>44</v>
      </c>
      <c r="B12" s="6">
        <v>769.5</v>
      </c>
    </row>
    <row r="13" spans="1:2">
      <c r="A13" s="6" t="s">
        <v>55</v>
      </c>
      <c r="B13" s="6">
        <v>767.2</v>
      </c>
    </row>
    <row r="14" spans="1:2">
      <c r="A14" s="6" t="s">
        <v>41</v>
      </c>
      <c r="B14" s="6">
        <v>760.7</v>
      </c>
    </row>
    <row r="15" spans="1:2">
      <c r="A15" s="6" t="s">
        <v>47</v>
      </c>
      <c r="B15" s="6">
        <v>745.9</v>
      </c>
    </row>
    <row r="16" spans="1:2">
      <c r="A16" s="6" t="s">
        <v>53</v>
      </c>
      <c r="B16" s="6">
        <v>729.4</v>
      </c>
    </row>
    <row r="17" spans="1:2">
      <c r="A17" s="6" t="s">
        <v>328</v>
      </c>
      <c r="B17" s="6">
        <v>714.7</v>
      </c>
    </row>
    <row r="18" spans="1:2">
      <c r="A18" s="6" t="s">
        <v>45</v>
      </c>
      <c r="B18" s="6">
        <v>663.6</v>
      </c>
    </row>
    <row r="22" spans="1:2">
      <c r="A22" s="97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AEE3-5817-4FD9-8309-F23BA79EC13D}">
  <dimension ref="A1:T6"/>
  <sheetViews>
    <sheetView zoomScaleNormal="100" workbookViewId="0">
      <selection activeCell="A6" sqref="A6"/>
    </sheetView>
  </sheetViews>
  <sheetFormatPr baseColWidth="10" defaultColWidth="11.44140625" defaultRowHeight="14.4"/>
  <cols>
    <col min="1" max="1" width="27.5546875" style="6" bestFit="1" customWidth="1"/>
    <col min="2" max="16384" width="11.44140625" style="6"/>
  </cols>
  <sheetData>
    <row r="1" spans="1:20">
      <c r="A1" s="7" t="s">
        <v>307</v>
      </c>
      <c r="B1" s="7" t="s">
        <v>308</v>
      </c>
    </row>
    <row r="4" spans="1:20">
      <c r="B4" s="6" t="s">
        <v>47</v>
      </c>
      <c r="C4" s="6" t="s">
        <v>53</v>
      </c>
      <c r="D4" s="6" t="s">
        <v>43</v>
      </c>
      <c r="E4" s="6" t="s">
        <v>51</v>
      </c>
      <c r="F4" s="6" t="s">
        <v>328</v>
      </c>
      <c r="G4" s="6" t="s">
        <v>45</v>
      </c>
      <c r="H4" s="6" t="s">
        <v>55</v>
      </c>
      <c r="I4" s="6" t="s">
        <v>357</v>
      </c>
      <c r="J4" s="6" t="s">
        <v>57</v>
      </c>
      <c r="K4" s="6" t="s">
        <v>329</v>
      </c>
      <c r="L4" s="6" t="s">
        <v>356</v>
      </c>
      <c r="M4" s="6" t="s">
        <v>48</v>
      </c>
      <c r="N4" s="6" t="s">
        <v>52</v>
      </c>
      <c r="O4" s="6" t="s">
        <v>60</v>
      </c>
      <c r="P4" s="6" t="s">
        <v>56</v>
      </c>
      <c r="Q4" s="6" t="s">
        <v>44</v>
      </c>
      <c r="R4" s="6" t="s">
        <v>40</v>
      </c>
      <c r="S4" s="6" t="s">
        <v>42</v>
      </c>
      <c r="T4" s="6" t="s">
        <v>41</v>
      </c>
    </row>
    <row r="5" spans="1:20">
      <c r="A5" s="6" t="s">
        <v>729</v>
      </c>
      <c r="B5" s="6">
        <v>76.599999999999994</v>
      </c>
      <c r="C5" s="6">
        <v>77.2</v>
      </c>
      <c r="D5" s="6">
        <v>74</v>
      </c>
      <c r="E5" s="6">
        <v>61.8</v>
      </c>
      <c r="F5" s="6">
        <v>65.3</v>
      </c>
      <c r="G5" s="6">
        <v>68.400000000000006</v>
      </c>
      <c r="H5" s="6">
        <v>61.5</v>
      </c>
      <c r="I5" s="6">
        <v>70.400000000000006</v>
      </c>
      <c r="J5" s="6">
        <v>71.400000000000006</v>
      </c>
      <c r="K5" s="6">
        <v>73.3</v>
      </c>
      <c r="L5" s="6">
        <v>74.8</v>
      </c>
      <c r="M5" s="6">
        <v>82.4</v>
      </c>
      <c r="N5" s="6">
        <v>74.099999999999994</v>
      </c>
      <c r="O5" s="6">
        <v>72.400000000000006</v>
      </c>
      <c r="P5" s="6">
        <v>72.5</v>
      </c>
      <c r="Q5" s="6">
        <v>74</v>
      </c>
      <c r="R5" s="6">
        <v>77.400000000000006</v>
      </c>
      <c r="S5" s="6">
        <v>83.7</v>
      </c>
      <c r="T5" s="6">
        <v>77.400000000000006</v>
      </c>
    </row>
    <row r="6" spans="1:20">
      <c r="A6" s="6" t="s">
        <v>355</v>
      </c>
      <c r="B6" s="6">
        <v>1380.3</v>
      </c>
      <c r="C6" s="6">
        <v>1342.4</v>
      </c>
      <c r="D6" s="6">
        <v>1632.8</v>
      </c>
      <c r="E6" s="6">
        <v>2000.1</v>
      </c>
      <c r="F6" s="6">
        <v>1632.3</v>
      </c>
      <c r="G6" s="6">
        <v>1500.2</v>
      </c>
      <c r="H6" s="6">
        <v>1734.4</v>
      </c>
      <c r="I6" s="6">
        <v>1604.2</v>
      </c>
      <c r="J6" s="6">
        <v>1862</v>
      </c>
      <c r="K6" s="6">
        <v>1858.4</v>
      </c>
      <c r="L6" s="6">
        <v>1676.3</v>
      </c>
      <c r="M6" s="6">
        <v>1401.8</v>
      </c>
      <c r="N6" s="6">
        <v>1540.5</v>
      </c>
      <c r="O6" s="6">
        <v>2019.5</v>
      </c>
      <c r="P6" s="6">
        <v>1814.9</v>
      </c>
      <c r="Q6" s="6">
        <v>1548.3</v>
      </c>
      <c r="R6" s="6">
        <v>1595.1</v>
      </c>
      <c r="S6" s="6">
        <v>1448.1</v>
      </c>
      <c r="T6" s="6">
        <v>1418.1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D26FB-496A-46DD-BBF1-20933631A285}">
  <dimension ref="A1:B19"/>
  <sheetViews>
    <sheetView workbookViewId="0">
      <selection activeCell="B3" sqref="B3"/>
    </sheetView>
  </sheetViews>
  <sheetFormatPr baseColWidth="10" defaultColWidth="11.44140625" defaultRowHeight="14.4"/>
  <cols>
    <col min="1" max="16384" width="11.44140625" style="6"/>
  </cols>
  <sheetData>
    <row r="1" spans="1:2">
      <c r="A1" s="7" t="s">
        <v>309</v>
      </c>
      <c r="B1" s="7" t="s">
        <v>363</v>
      </c>
    </row>
    <row r="4" spans="1:2">
      <c r="A4" s="6" t="s">
        <v>362</v>
      </c>
      <c r="B4" s="6">
        <v>38.700000000000003</v>
      </c>
    </row>
    <row r="5" spans="1:2">
      <c r="A5" s="6" t="s">
        <v>53</v>
      </c>
      <c r="B5" s="6">
        <v>28.5</v>
      </c>
    </row>
    <row r="6" spans="1:2">
      <c r="A6" s="6" t="s">
        <v>47</v>
      </c>
      <c r="B6" s="6">
        <v>22</v>
      </c>
    </row>
    <row r="7" spans="1:2">
      <c r="A7" s="6" t="s">
        <v>41</v>
      </c>
      <c r="B7" s="6">
        <v>21</v>
      </c>
    </row>
    <row r="8" spans="1:2">
      <c r="A8" s="6" t="s">
        <v>40</v>
      </c>
      <c r="B8" s="6">
        <v>18.100000000000001</v>
      </c>
    </row>
    <row r="9" spans="1:2">
      <c r="A9" s="6" t="s">
        <v>55</v>
      </c>
      <c r="B9" s="6">
        <v>17.5</v>
      </c>
    </row>
    <row r="10" spans="1:2">
      <c r="A10" s="6" t="s">
        <v>331</v>
      </c>
      <c r="B10" s="6">
        <v>17.100000000000001</v>
      </c>
    </row>
    <row r="11" spans="1:2">
      <c r="A11" s="6" t="s">
        <v>44</v>
      </c>
      <c r="B11" s="6">
        <v>14.9</v>
      </c>
    </row>
    <row r="12" spans="1:2">
      <c r="A12" s="6" t="s">
        <v>361</v>
      </c>
      <c r="B12" s="6">
        <v>12.8</v>
      </c>
    </row>
    <row r="13" spans="1:2">
      <c r="A13" s="6" t="s">
        <v>360</v>
      </c>
      <c r="B13" s="6">
        <v>8</v>
      </c>
    </row>
    <row r="14" spans="1:2">
      <c r="A14" s="6" t="s">
        <v>57</v>
      </c>
      <c r="B14" s="6">
        <v>6.6</v>
      </c>
    </row>
    <row r="15" spans="1:2">
      <c r="A15" s="6" t="s">
        <v>359</v>
      </c>
      <c r="B15" s="6">
        <v>5.7</v>
      </c>
    </row>
    <row r="16" spans="1:2">
      <c r="A16" s="6" t="s">
        <v>358</v>
      </c>
      <c r="B16" s="6">
        <v>5.5</v>
      </c>
    </row>
    <row r="17" spans="1:2">
      <c r="A17" s="6" t="s">
        <v>64</v>
      </c>
      <c r="B17" s="6">
        <v>4</v>
      </c>
    </row>
    <row r="18" spans="1:2">
      <c r="A18" s="6" t="s">
        <v>330</v>
      </c>
      <c r="B18" s="6">
        <v>3.3</v>
      </c>
    </row>
    <row r="19" spans="1:2">
      <c r="A19" s="6" t="s">
        <v>62</v>
      </c>
      <c r="B19" s="6">
        <v>3.3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6707E-49E7-49FF-A747-E60C6E6A23A0}">
  <dimension ref="A1:AD15"/>
  <sheetViews>
    <sheetView zoomScale="112" zoomScaleNormal="112" workbookViewId="0">
      <selection activeCell="E16" sqref="E16"/>
    </sheetView>
  </sheetViews>
  <sheetFormatPr baseColWidth="10" defaultColWidth="11.44140625" defaultRowHeight="14.4"/>
  <cols>
    <col min="1" max="16384" width="11.44140625" style="6"/>
  </cols>
  <sheetData>
    <row r="1" spans="1:30">
      <c r="A1" s="7" t="s">
        <v>309</v>
      </c>
      <c r="B1" s="14" t="s">
        <v>797</v>
      </c>
    </row>
    <row r="3" spans="1:30">
      <c r="B3" s="6">
        <v>1996</v>
      </c>
      <c r="C3" s="6">
        <v>1997</v>
      </c>
      <c r="D3" s="6">
        <v>1998</v>
      </c>
      <c r="E3" s="6">
        <v>1999</v>
      </c>
      <c r="F3" s="6">
        <v>2000</v>
      </c>
      <c r="G3" s="6">
        <v>2001</v>
      </c>
      <c r="H3" s="6">
        <v>2002</v>
      </c>
      <c r="I3" s="6">
        <v>2003</v>
      </c>
      <c r="J3" s="6">
        <v>2004</v>
      </c>
      <c r="K3" s="6">
        <v>2005</v>
      </c>
      <c r="L3" s="6">
        <v>2006</v>
      </c>
      <c r="M3" s="6">
        <v>2007</v>
      </c>
      <c r="N3" s="6">
        <v>2008</v>
      </c>
      <c r="O3" s="6">
        <v>2009</v>
      </c>
      <c r="P3" s="6">
        <v>2010</v>
      </c>
      <c r="Q3" s="6">
        <v>2011</v>
      </c>
      <c r="R3" s="6">
        <v>2012</v>
      </c>
      <c r="S3" s="6">
        <v>2013</v>
      </c>
      <c r="T3" s="6">
        <v>2014</v>
      </c>
      <c r="U3" s="6">
        <v>2015</v>
      </c>
      <c r="V3" s="6">
        <v>2016</v>
      </c>
      <c r="W3" s="6">
        <v>2017</v>
      </c>
      <c r="X3" s="6">
        <v>2018</v>
      </c>
      <c r="Y3" s="6">
        <v>2019</v>
      </c>
      <c r="Z3" s="6">
        <v>2020</v>
      </c>
      <c r="AA3" s="6">
        <v>2021</v>
      </c>
      <c r="AB3" s="6">
        <v>2022</v>
      </c>
      <c r="AC3" s="6">
        <v>2023</v>
      </c>
    </row>
    <row r="4" spans="1:30">
      <c r="A4" s="6" t="s">
        <v>795</v>
      </c>
      <c r="B4" s="55">
        <v>0.1303939962476548</v>
      </c>
      <c r="C4" s="55">
        <v>0.12574031890660592</v>
      </c>
      <c r="D4" s="55">
        <v>0.12449977767896843</v>
      </c>
      <c r="E4" s="55">
        <v>0.12527667109340415</v>
      </c>
      <c r="F4" s="55">
        <v>0.12208021154693698</v>
      </c>
      <c r="G4" s="55">
        <v>0.12247585601404741</v>
      </c>
      <c r="H4" s="55">
        <v>0.12510936132983377</v>
      </c>
      <c r="I4" s="55">
        <v>0.12692816218598502</v>
      </c>
      <c r="J4" s="55">
        <v>0.13093145869947276</v>
      </c>
      <c r="K4" s="55">
        <v>0.12756662297946703</v>
      </c>
      <c r="L4" s="55">
        <v>0.12829226847918437</v>
      </c>
      <c r="M4" s="55">
        <v>0.12955122777307368</v>
      </c>
      <c r="N4" s="55">
        <v>0.12607449856733524</v>
      </c>
      <c r="O4" s="55">
        <v>0.12614770459081837</v>
      </c>
      <c r="P4" s="55">
        <v>0.12625250501002003</v>
      </c>
      <c r="Q4" s="73">
        <f>'[1]5.8 og 5.9 Deltid'!U170/'[1]5.8 og 5.9 Deltid'!U169</f>
        <v>0.12431156569630213</v>
      </c>
      <c r="R4" s="73">
        <f>'[1]5.8 og 5.9 Deltid'!V170/'[1]5.8 og 5.9 Deltid'!V169</f>
        <v>0.1207897793263647</v>
      </c>
      <c r="S4" s="73">
        <f>'[1]5.8 og 5.9 Deltid'!W170/'[1]5.8 og 5.9 Deltid'!W169</f>
        <v>0.12375096079938509</v>
      </c>
      <c r="T4" s="73">
        <f>'[1]5.8 og 5.9 Deltid'!X170/'[1]5.8 og 5.9 Deltid'!X169</f>
        <v>0.12385670731707317</v>
      </c>
      <c r="U4" s="73">
        <f>'[1]5.8 og 5.9 Deltid'!Y170/'[1]5.8 og 5.9 Deltid'!Y169</f>
        <v>0.12845774914740432</v>
      </c>
      <c r="V4" s="73">
        <f>'[1]5.8 og 5.9 Deltid'!Z170/'[1]5.8 og 5.9 Deltid'!Z169</f>
        <v>0.12547384382107657</v>
      </c>
      <c r="W4" s="73">
        <f>'[1]5.8 og 5.9 Deltid'!AA170/'[1]5.8 og 5.9 Deltid'!AA169</f>
        <v>0.12051378919531545</v>
      </c>
      <c r="X4" s="73">
        <f>'[1]5.8 og 5.9 Deltid'!AB170/'[1]5.8 og 5.9 Deltid'!AB169</f>
        <v>0.11878247958426132</v>
      </c>
      <c r="Y4" s="73">
        <f>'[1]5.8 og 5.9 Deltid'!AC170/'[1]5.8 og 5.9 Deltid'!AC169</f>
        <v>0.12004405286343613</v>
      </c>
      <c r="Z4" s="73">
        <f>'[1]5.8 og 5.9 Deltid'!AD170/'[1]5.8 og 5.9 Deltid'!AD169</f>
        <v>0.11881918819188192</v>
      </c>
      <c r="AA4" s="73">
        <f>'[1]5.8 og 5.9 Deltid'!AE170/'[1]5.8 og 5.9 Deltid'!AE169</f>
        <v>0.13266041816870944</v>
      </c>
      <c r="AB4" s="73">
        <f>'[1]5.8 og 5.9 Deltid'!AF170/'[1]5.8 og 5.9 Deltid'!AF169</f>
        <v>0.13724113724113723</v>
      </c>
      <c r="AC4" s="73">
        <f>'[1]5.8 og 5.9 Deltid'!AG170/'[1]5.8 og 5.9 Deltid'!AG169</f>
        <v>0.13942976356050069</v>
      </c>
    </row>
    <row r="5" spans="1:30">
      <c r="A5" s="6" t="s">
        <v>796</v>
      </c>
      <c r="B5" s="55">
        <v>0.13227016885553472</v>
      </c>
      <c r="C5" s="55">
        <v>0.1348519362186788</v>
      </c>
      <c r="D5" s="55">
        <v>0.13383726100489107</v>
      </c>
      <c r="E5" s="55">
        <v>0.13722886232846393</v>
      </c>
      <c r="F5" s="55">
        <v>0.13309828118113706</v>
      </c>
      <c r="G5" s="55">
        <v>0.13520632133450394</v>
      </c>
      <c r="H5" s="55">
        <v>0.13604549431321084</v>
      </c>
      <c r="I5" s="55">
        <v>0.13706478624944909</v>
      </c>
      <c r="J5" s="55">
        <v>0.13840070298769772</v>
      </c>
      <c r="K5" s="55">
        <v>0.13717780690257755</v>
      </c>
      <c r="L5" s="55">
        <v>0.14401019541206458</v>
      </c>
      <c r="M5" s="55">
        <v>0.14309906858594412</v>
      </c>
      <c r="N5" s="55">
        <v>0.14121981170691772</v>
      </c>
      <c r="O5" s="55">
        <v>0.14331337325349303</v>
      </c>
      <c r="P5" s="55">
        <v>0.14268537074148296</v>
      </c>
      <c r="Q5" s="73">
        <f>'[1]5.8 og 5.9 Deltid'!U171/'[1]5.8 og 5.9 Deltid'!U169</f>
        <v>0.14122738001573565</v>
      </c>
      <c r="R5" s="73">
        <f>'[1]5.8 og 5.9 Deltid'!V171/'[1]5.8 og 5.9 Deltid'!V169</f>
        <v>0.143244289585753</v>
      </c>
      <c r="S5" s="73">
        <f>'[1]5.8 og 5.9 Deltid'!W171/'[1]5.8 og 5.9 Deltid'!W169</f>
        <v>0.13912375096079937</v>
      </c>
      <c r="T5" s="73">
        <f>'[1]5.8 og 5.9 Deltid'!X171/'[1]5.8 og 5.9 Deltid'!X169</f>
        <v>0.13109756097560976</v>
      </c>
      <c r="U5" s="73">
        <f>'[1]5.8 og 5.9 Deltid'!Y171/'[1]5.8 og 5.9 Deltid'!Y169</f>
        <v>0.13073133762788935</v>
      </c>
      <c r="V5" s="73">
        <f>'[1]5.8 og 5.9 Deltid'!Z171/'[1]5.8 og 5.9 Deltid'!Z169</f>
        <v>0.1315390447308567</v>
      </c>
      <c r="W5" s="73">
        <f>'[1]5.8 og 5.9 Deltid'!AA171/'[1]5.8 og 5.9 Deltid'!AA169</f>
        <v>0.13071401586701928</v>
      </c>
      <c r="X5" s="73">
        <f>'[1]5.8 og 5.9 Deltid'!AB171/'[1]5.8 og 5.9 Deltid'!AB169</f>
        <v>0.13177431328878991</v>
      </c>
      <c r="Y5" s="73">
        <f>'[1]5.8 og 5.9 Deltid'!AC171/'[1]5.8 og 5.9 Deltid'!AC169</f>
        <v>0.12995594713656389</v>
      </c>
      <c r="Z5" s="73">
        <f>'[1]5.8 og 5.9 Deltid'!AD171/'[1]5.8 og 5.9 Deltid'!AD169</f>
        <v>0.12619926199261994</v>
      </c>
      <c r="AA5" s="73">
        <f>'[1]5.8 og 5.9 Deltid'!AE171/'[1]5.8 og 5.9 Deltid'!AE169</f>
        <v>0.12220620043258831</v>
      </c>
      <c r="AB5" s="73">
        <f>'[1]5.8 og 5.9 Deltid'!AF171/'[1]5.8 og 5.9 Deltid'!AF169</f>
        <v>0.11618111618111618</v>
      </c>
      <c r="AC5" s="73">
        <f>'[1]5.8 og 5.9 Deltid'!AG171/'[1]5.8 og 5.9 Deltid'!AG169</f>
        <v>0.11265646731571627</v>
      </c>
    </row>
    <row r="6" spans="1:30">
      <c r="A6" s="6" t="s">
        <v>364</v>
      </c>
      <c r="B6" s="55">
        <v>0.26266416510318952</v>
      </c>
      <c r="C6" s="55">
        <v>0.26059225512528472</v>
      </c>
      <c r="D6" s="55">
        <v>0.25833703868385949</v>
      </c>
      <c r="E6" s="55">
        <v>0.26250553342186811</v>
      </c>
      <c r="F6" s="55">
        <v>0.25517849272807402</v>
      </c>
      <c r="G6" s="55">
        <v>0.25768217734855137</v>
      </c>
      <c r="H6" s="55">
        <v>0.26115485564304464</v>
      </c>
      <c r="I6" s="55">
        <v>0.26399294843543408</v>
      </c>
      <c r="J6" s="55">
        <v>0.26933216168717045</v>
      </c>
      <c r="K6" s="55">
        <v>0.26474442988204461</v>
      </c>
      <c r="L6" s="55">
        <v>0.27230246389124896</v>
      </c>
      <c r="M6" s="55">
        <v>0.27265029635901783</v>
      </c>
      <c r="N6" s="55">
        <v>0.26729431027425299</v>
      </c>
      <c r="O6" s="55">
        <v>0.26946107784431139</v>
      </c>
      <c r="P6" s="55">
        <v>0.26893787575150296</v>
      </c>
      <c r="Q6" s="73">
        <f>('[1]5.8 og 5.9 Deltid'!U170+'[1]5.8 og 5.9 Deltid'!U171)/'[1]5.8 og 5.9 Deltid'!U169</f>
        <v>0.26553894571203779</v>
      </c>
      <c r="R6" s="73">
        <f>('[1]5.8 og 5.9 Deltid'!V170+'[1]5.8 og 5.9 Deltid'!V171)/'[1]5.8 og 5.9 Deltid'!V169</f>
        <v>0.26403406891211767</v>
      </c>
      <c r="S6" s="73">
        <f>('[1]5.8 og 5.9 Deltid'!W170+'[1]5.8 og 5.9 Deltid'!W171)/'[1]5.8 og 5.9 Deltid'!W169</f>
        <v>0.26287471176018445</v>
      </c>
      <c r="T6" s="73">
        <f>('[1]5.8 og 5.9 Deltid'!X170+'[1]5.8 og 5.9 Deltid'!X171)/'[1]5.8 og 5.9 Deltid'!X169</f>
        <v>0.25495426829268292</v>
      </c>
      <c r="U6" s="73">
        <f>('[1]5.8 og 5.9 Deltid'!Y170+'[1]5.8 og 5.9 Deltid'!Y171)/'[1]5.8 og 5.9 Deltid'!Y169</f>
        <v>0.25918908677529368</v>
      </c>
      <c r="V6" s="73">
        <f>('[1]5.8 og 5.9 Deltid'!Z170+'[1]5.8 og 5.9 Deltid'!Z171)/'[1]5.8 og 5.9 Deltid'!Z169</f>
        <v>0.25701288855193327</v>
      </c>
      <c r="W6" s="73">
        <f>('[1]5.8 og 5.9 Deltid'!AA170+'[1]5.8 og 5.9 Deltid'!AA171)/'[1]5.8 og 5.9 Deltid'!AA169</f>
        <v>0.25122780506233472</v>
      </c>
      <c r="X6" s="73">
        <f>('[1]5.8 og 5.9 Deltid'!AB170+'[1]5.8 og 5.9 Deltid'!AB171)/'[1]5.8 og 5.9 Deltid'!AB169</f>
        <v>0.25055679287305122</v>
      </c>
      <c r="Y6" s="73">
        <f>('[1]5.8 og 5.9 Deltid'!AC170+'[1]5.8 og 5.9 Deltid'!AC171)/'[1]5.8 og 5.9 Deltid'!AC169</f>
        <v>0.25</v>
      </c>
      <c r="Z6" s="73">
        <f>('[1]5.8 og 5.9 Deltid'!AD170+'[1]5.8 og 5.9 Deltid'!AD171)/'[1]5.8 og 5.9 Deltid'!AD169</f>
        <v>0.24501845018450186</v>
      </c>
      <c r="AA6" s="73">
        <f>('[1]5.8 og 5.9 Deltid'!AE170+'[1]5.8 og 5.9 Deltid'!AE171)/'[1]5.8 og 5.9 Deltid'!AE169</f>
        <v>0.25486661860129778</v>
      </c>
      <c r="AB6" s="73">
        <f>('[1]5.8 og 5.9 Deltid'!AF170+'[1]5.8 og 5.9 Deltid'!AF171)/'[1]5.8 og 5.9 Deltid'!AF169</f>
        <v>0.25342225342225344</v>
      </c>
      <c r="AC6" s="73">
        <f>('[1]5.8 og 5.9 Deltid'!AG170+'[1]5.8 og 5.9 Deltid'!AG171)/'[1]5.8 og 5.9 Deltid'!AG169</f>
        <v>0.25208623087621695</v>
      </c>
    </row>
    <row r="7" spans="1:30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0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30">
      <c r="AD9" s="55"/>
    </row>
    <row r="10" spans="1:30">
      <c r="AD10" s="55"/>
    </row>
    <row r="11" spans="1:30">
      <c r="AD11" s="55"/>
    </row>
    <row r="12" spans="1:30">
      <c r="AD12" s="55"/>
    </row>
    <row r="13" spans="1:30">
      <c r="AD13" s="55"/>
    </row>
    <row r="14" spans="1:30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30"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3B85-01A5-457D-AA6A-FDEE6CC24EBC}">
  <dimension ref="A1:H11"/>
  <sheetViews>
    <sheetView zoomScale="118" zoomScaleNormal="118" workbookViewId="0">
      <selection activeCell="A10" sqref="A10"/>
    </sheetView>
  </sheetViews>
  <sheetFormatPr baseColWidth="10" defaultColWidth="11.44140625" defaultRowHeight="14.4"/>
  <cols>
    <col min="1" max="1" width="35" style="6" customWidth="1"/>
    <col min="2" max="16384" width="11.44140625" style="6"/>
  </cols>
  <sheetData>
    <row r="1" spans="1:8">
      <c r="A1" s="7" t="s">
        <v>312</v>
      </c>
      <c r="B1" s="7" t="s">
        <v>731</v>
      </c>
    </row>
    <row r="4" spans="1:8">
      <c r="A4" s="197"/>
      <c r="B4" s="6" t="s">
        <v>373</v>
      </c>
      <c r="C4" s="6" t="s">
        <v>353</v>
      </c>
      <c r="D4" s="6" t="s">
        <v>352</v>
      </c>
      <c r="E4" s="6" t="s">
        <v>351</v>
      </c>
      <c r="F4" s="6" t="s">
        <v>372</v>
      </c>
      <c r="G4" s="6" t="s">
        <v>371</v>
      </c>
      <c r="H4" s="6" t="s">
        <v>798</v>
      </c>
    </row>
    <row r="5" spans="1:8">
      <c r="A5" s="197" t="s">
        <v>370</v>
      </c>
      <c r="B5" s="55">
        <v>8.2232905589109284E-2</v>
      </c>
      <c r="C5" s="55">
        <v>6.6099954948634059E-3</v>
      </c>
      <c r="D5" s="55">
        <v>4.0624604935634481E-2</v>
      </c>
      <c r="E5" s="55">
        <v>6.6750360505556022E-2</v>
      </c>
      <c r="F5" s="55">
        <v>8.6435892989699156E-2</v>
      </c>
      <c r="G5" s="55">
        <v>0.11790833784022575</v>
      </c>
      <c r="H5" s="55">
        <v>9.8728735223857875E-2</v>
      </c>
    </row>
    <row r="6" spans="1:8">
      <c r="A6" s="197" t="s">
        <v>369</v>
      </c>
      <c r="B6" s="55">
        <v>0.13058046488442832</v>
      </c>
      <c r="C6" s="55">
        <v>0.81582115346267747</v>
      </c>
      <c r="D6" s="55">
        <v>0.45560239414454667</v>
      </c>
      <c r="E6" s="55">
        <v>0.19106285520400373</v>
      </c>
      <c r="F6" s="55">
        <v>6.2105097036778703E-2</v>
      </c>
      <c r="G6" s="55">
        <v>1.1997258381481224E-2</v>
      </c>
      <c r="H6" s="55">
        <v>2.1205870945056856E-3</v>
      </c>
    </row>
    <row r="7" spans="1:8">
      <c r="A7" s="197" t="s">
        <v>368</v>
      </c>
      <c r="B7" s="55">
        <v>1.1775691420367084E-2</v>
      </c>
      <c r="C7" s="55">
        <v>6.1299399561303097E-4</v>
      </c>
      <c r="D7" s="55">
        <v>4.3506122680291026E-3</v>
      </c>
      <c r="E7" s="55">
        <v>6.1718551191788954E-3</v>
      </c>
      <c r="F7" s="55">
        <v>1.3216199488627249E-2</v>
      </c>
      <c r="G7" s="55">
        <v>1.9242199506294477E-2</v>
      </c>
      <c r="H7" s="55">
        <v>1.1266298614912259E-2</v>
      </c>
    </row>
    <row r="8" spans="1:8">
      <c r="A8" s="197" t="s">
        <v>367</v>
      </c>
      <c r="B8" s="55">
        <v>2.085117063606988E-2</v>
      </c>
      <c r="C8" s="55">
        <v>1.4770939653326046E-4</v>
      </c>
      <c r="D8" s="55">
        <v>1.8047630049739965E-3</v>
      </c>
      <c r="E8" s="55">
        <v>4.2276698617355161E-3</v>
      </c>
      <c r="F8" s="55">
        <v>1.8213026951305285E-2</v>
      </c>
      <c r="G8" s="55">
        <v>4.8733340115983313E-2</v>
      </c>
      <c r="H8" s="55">
        <v>4.1585256663537136E-2</v>
      </c>
    </row>
    <row r="9" spans="1:8">
      <c r="A9" s="197" t="s">
        <v>366</v>
      </c>
      <c r="B9" s="55">
        <v>5.7357744768163334E-2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0.59228903783344877</v>
      </c>
    </row>
    <row r="10" spans="1:8">
      <c r="A10" s="197" t="s">
        <v>365</v>
      </c>
      <c r="B10" s="55">
        <v>0.69720202270186205</v>
      </c>
      <c r="C10" s="55">
        <v>0.17680814765031277</v>
      </c>
      <c r="D10" s="55">
        <v>0.49761762564681572</v>
      </c>
      <c r="E10" s="55">
        <v>0.73178725930952582</v>
      </c>
      <c r="F10" s="55">
        <v>0.82002978353358957</v>
      </c>
      <c r="G10" s="55">
        <v>0.80211886415601519</v>
      </c>
      <c r="H10" s="55">
        <v>0.25401008456973834</v>
      </c>
    </row>
    <row r="11" spans="1:8">
      <c r="A11" s="197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1798-127A-404B-BCE5-8000996F7772}">
  <dimension ref="A1:D8"/>
  <sheetViews>
    <sheetView workbookViewId="0">
      <selection activeCell="B19" sqref="B19"/>
    </sheetView>
  </sheetViews>
  <sheetFormatPr baseColWidth="10" defaultColWidth="11.44140625" defaultRowHeight="14.4"/>
  <cols>
    <col min="1" max="1" width="32.44140625" style="6" bestFit="1" customWidth="1"/>
    <col min="2" max="16384" width="11.44140625" style="6"/>
  </cols>
  <sheetData>
    <row r="1" spans="1:4">
      <c r="A1" s="7" t="s">
        <v>313</v>
      </c>
      <c r="B1" s="7" t="s">
        <v>379</v>
      </c>
    </row>
    <row r="3" spans="1:4">
      <c r="B3" s="6">
        <v>1997</v>
      </c>
      <c r="C3" s="6">
        <v>2010</v>
      </c>
      <c r="D3" s="6">
        <v>2022</v>
      </c>
    </row>
    <row r="4" spans="1:4">
      <c r="A4" s="6" t="s">
        <v>378</v>
      </c>
      <c r="B4" s="55">
        <v>0.28955984901283965</v>
      </c>
      <c r="C4" s="55">
        <v>0.23453061843652634</v>
      </c>
      <c r="D4" s="55">
        <v>0.19041011894911972</v>
      </c>
    </row>
    <row r="5" spans="1:4">
      <c r="A5" s="6" t="s">
        <v>377</v>
      </c>
      <c r="B5" s="55">
        <v>0.4584550738811739</v>
      </c>
      <c r="C5" s="55">
        <v>0.42310320628517611</v>
      </c>
      <c r="D5" s="55">
        <v>0.3288161032481941</v>
      </c>
    </row>
    <row r="6" spans="1:4">
      <c r="A6" s="6" t="s">
        <v>376</v>
      </c>
      <c r="B6" s="55"/>
      <c r="C6" s="55"/>
      <c r="D6" s="55">
        <v>3.7836955905356705E-2</v>
      </c>
    </row>
    <row r="7" spans="1:4">
      <c r="A7" s="6" t="s">
        <v>375</v>
      </c>
      <c r="B7" s="55">
        <v>0.19658972903544292</v>
      </c>
      <c r="C7" s="55">
        <v>0.25302745456701048</v>
      </c>
      <c r="D7" s="55">
        <v>0.29258452437762211</v>
      </c>
    </row>
    <row r="8" spans="1:4">
      <c r="A8" s="6" t="s">
        <v>374</v>
      </c>
      <c r="B8" s="55">
        <v>5.5395348070543513E-2</v>
      </c>
      <c r="C8" s="55">
        <v>8.9338720711287053E-2</v>
      </c>
      <c r="D8" s="55">
        <v>0.15035229751970741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F245-62A9-460A-A5DD-3B8DFC37F067}">
  <dimension ref="A1:D12"/>
  <sheetViews>
    <sheetView workbookViewId="0">
      <selection activeCell="H27" sqref="H27"/>
    </sheetView>
  </sheetViews>
  <sheetFormatPr baseColWidth="10" defaultColWidth="11.44140625" defaultRowHeight="14.4"/>
  <cols>
    <col min="1" max="16384" width="11.44140625" style="6"/>
  </cols>
  <sheetData>
    <row r="1" spans="1:4">
      <c r="A1" s="100" t="s">
        <v>314</v>
      </c>
      <c r="B1" s="7" t="s">
        <v>315</v>
      </c>
    </row>
    <row r="3" spans="1:4">
      <c r="B3" s="6" t="s">
        <v>386</v>
      </c>
      <c r="C3" s="6" t="s">
        <v>233</v>
      </c>
      <c r="D3" s="6" t="s">
        <v>385</v>
      </c>
    </row>
    <row r="4" spans="1:4">
      <c r="A4" s="6" t="s">
        <v>1</v>
      </c>
      <c r="B4" s="6">
        <v>20</v>
      </c>
      <c r="C4" s="6">
        <v>40</v>
      </c>
      <c r="D4" s="6">
        <v>40</v>
      </c>
    </row>
    <row r="5" spans="1:4">
      <c r="A5" s="6" t="s">
        <v>384</v>
      </c>
      <c r="B5" s="6">
        <v>17</v>
      </c>
      <c r="C5" s="6">
        <v>46</v>
      </c>
      <c r="D5" s="6">
        <v>38</v>
      </c>
    </row>
    <row r="6" spans="1:4">
      <c r="A6" s="6" t="s">
        <v>383</v>
      </c>
      <c r="B6" s="6">
        <v>17</v>
      </c>
      <c r="C6" s="6">
        <v>35</v>
      </c>
      <c r="D6" s="6">
        <v>48</v>
      </c>
    </row>
    <row r="7" spans="1:4">
      <c r="A7" s="6" t="s">
        <v>382</v>
      </c>
      <c r="B7" s="6">
        <v>16</v>
      </c>
      <c r="C7" s="6">
        <v>51</v>
      </c>
      <c r="D7" s="6">
        <v>33</v>
      </c>
    </row>
    <row r="8" spans="1:4">
      <c r="A8" s="6" t="s">
        <v>45</v>
      </c>
      <c r="B8" s="6">
        <v>17</v>
      </c>
      <c r="C8" s="6">
        <v>42</v>
      </c>
      <c r="D8" s="6">
        <v>42</v>
      </c>
    </row>
    <row r="9" spans="1:4">
      <c r="A9" s="6" t="s">
        <v>48</v>
      </c>
      <c r="B9" s="6">
        <v>19</v>
      </c>
      <c r="C9" s="6">
        <v>37</v>
      </c>
      <c r="D9" s="6">
        <v>45</v>
      </c>
    </row>
    <row r="10" spans="1:4">
      <c r="A10" s="6" t="s">
        <v>381</v>
      </c>
      <c r="B10" s="6">
        <v>14</v>
      </c>
      <c r="C10" s="6">
        <v>37</v>
      </c>
      <c r="D10" s="6">
        <v>49</v>
      </c>
    </row>
    <row r="11" spans="1:4">
      <c r="A11" s="6" t="s">
        <v>380</v>
      </c>
      <c r="B11" s="6">
        <v>18</v>
      </c>
      <c r="C11" s="6">
        <v>40</v>
      </c>
      <c r="D11" s="6">
        <v>42</v>
      </c>
    </row>
    <row r="12" spans="1:4">
      <c r="A12" s="6" t="s">
        <v>44</v>
      </c>
      <c r="B12" s="6">
        <v>11</v>
      </c>
      <c r="C12" s="6">
        <v>46</v>
      </c>
      <c r="D12" s="6">
        <v>43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694B-8059-4090-B820-F8B16EF1C242}">
  <dimension ref="A1:T64"/>
  <sheetViews>
    <sheetView zoomScale="98" zoomScaleNormal="98" workbookViewId="0">
      <selection activeCell="A15" sqref="A15"/>
    </sheetView>
  </sheetViews>
  <sheetFormatPr baseColWidth="10" defaultColWidth="11.44140625" defaultRowHeight="14.4"/>
  <cols>
    <col min="1" max="1" width="35.44140625" style="6" bestFit="1" customWidth="1"/>
    <col min="2" max="16384" width="11.44140625" style="6"/>
  </cols>
  <sheetData>
    <row r="1" spans="1:16">
      <c r="A1" s="7" t="s">
        <v>316</v>
      </c>
      <c r="B1" s="7" t="s">
        <v>390</v>
      </c>
    </row>
    <row r="3" spans="1:16">
      <c r="A3" s="36"/>
    </row>
    <row r="4" spans="1:16">
      <c r="A4" s="36" t="s">
        <v>389</v>
      </c>
      <c r="B4" s="99">
        <v>2008</v>
      </c>
      <c r="C4" s="99">
        <v>2009</v>
      </c>
      <c r="D4" s="99">
        <v>2010</v>
      </c>
      <c r="E4" s="99">
        <v>2011</v>
      </c>
      <c r="F4" s="99">
        <v>2012</v>
      </c>
      <c r="G4" s="99">
        <v>2013</v>
      </c>
      <c r="H4" s="99">
        <v>2014</v>
      </c>
      <c r="I4" s="99">
        <v>2015</v>
      </c>
      <c r="J4" s="99">
        <v>2016</v>
      </c>
      <c r="K4" s="99">
        <v>2017</v>
      </c>
      <c r="L4" s="99">
        <v>2018</v>
      </c>
      <c r="M4" s="99">
        <v>2019</v>
      </c>
      <c r="N4" s="99">
        <v>2020</v>
      </c>
      <c r="O4" s="99">
        <v>2021</v>
      </c>
      <c r="P4" s="99">
        <v>2022</v>
      </c>
    </row>
    <row r="5" spans="1:16">
      <c r="A5" s="36" t="s">
        <v>388</v>
      </c>
      <c r="B5" s="198">
        <v>84.952591659545789</v>
      </c>
      <c r="C5" s="198">
        <v>84.320034238484297</v>
      </c>
      <c r="D5" s="198">
        <v>84.085468022924104</v>
      </c>
      <c r="E5" s="198">
        <v>84.227103559249343</v>
      </c>
      <c r="F5" s="198">
        <v>84.497334218806614</v>
      </c>
      <c r="G5" s="198">
        <v>84.56591853294475</v>
      </c>
      <c r="H5" s="198">
        <v>84.506658059254477</v>
      </c>
      <c r="I5" s="198">
        <v>83.522102331668407</v>
      </c>
      <c r="J5" s="198">
        <v>83.467248428659815</v>
      </c>
      <c r="K5" s="198">
        <v>83.808836564723038</v>
      </c>
      <c r="L5" s="198">
        <v>84.175941841133877</v>
      </c>
      <c r="M5" s="198">
        <v>84.315410682533738</v>
      </c>
      <c r="N5" s="198">
        <v>83.654643209946812</v>
      </c>
      <c r="O5" s="198">
        <v>84.410560097850023</v>
      </c>
      <c r="P5" s="198">
        <v>84.477275404263906</v>
      </c>
    </row>
    <row r="6" spans="1:16">
      <c r="A6" s="36" t="s">
        <v>378</v>
      </c>
      <c r="B6" s="198">
        <v>70.403137689786206</v>
      </c>
      <c r="C6" s="198">
        <v>68.725169432110306</v>
      </c>
      <c r="D6" s="198">
        <v>67.954767166377991</v>
      </c>
      <c r="E6" s="198">
        <v>67.391064949517201</v>
      </c>
      <c r="F6" s="198">
        <v>66.848603333834618</v>
      </c>
      <c r="G6" s="198">
        <v>66.513073392435302</v>
      </c>
      <c r="H6" s="198">
        <v>66.043090589477572</v>
      </c>
      <c r="I6" s="198">
        <v>63.64037483068131</v>
      </c>
      <c r="J6" s="198">
        <v>63.072477772270084</v>
      </c>
      <c r="K6" s="198">
        <v>62.842823554933112</v>
      </c>
      <c r="L6" s="198">
        <v>62.758848440110334</v>
      </c>
      <c r="M6" s="198">
        <v>62.283569877067357</v>
      </c>
      <c r="N6" s="198">
        <v>60.585848516981045</v>
      </c>
      <c r="O6" s="198">
        <v>61.052897230509686</v>
      </c>
      <c r="P6" s="198">
        <v>60.905903690163377</v>
      </c>
    </row>
    <row r="7" spans="1:16">
      <c r="A7" s="36" t="s">
        <v>377</v>
      </c>
      <c r="B7" s="198">
        <v>86.484139216249318</v>
      </c>
      <c r="C7" s="198">
        <v>85.74093895964576</v>
      </c>
      <c r="D7" s="198">
        <v>85.489949292638357</v>
      </c>
      <c r="E7" s="198">
        <v>85.552047523310094</v>
      </c>
      <c r="F7" s="198">
        <v>86.017073152430285</v>
      </c>
      <c r="G7" s="198">
        <v>86.080888030642456</v>
      </c>
      <c r="H7" s="198">
        <v>86.0395166727169</v>
      </c>
      <c r="I7" s="198">
        <v>84.841796990943806</v>
      </c>
      <c r="J7" s="198">
        <v>84.750781113807946</v>
      </c>
      <c r="K7" s="198">
        <v>85.164662063284453</v>
      </c>
      <c r="L7" s="198">
        <v>85.589214939605938</v>
      </c>
      <c r="M7" s="198">
        <v>85.743519012120032</v>
      </c>
      <c r="N7" s="198">
        <v>84.951945551157294</v>
      </c>
      <c r="O7" s="198">
        <v>85.529064624233158</v>
      </c>
      <c r="P7" s="198">
        <v>85.695659244288024</v>
      </c>
    </row>
    <row r="8" spans="1:16">
      <c r="A8" s="36" t="s">
        <v>387</v>
      </c>
      <c r="B8" s="198">
        <v>92.099840922360784</v>
      </c>
      <c r="C8" s="198">
        <v>91.898570781580645</v>
      </c>
      <c r="D8" s="198">
        <v>91.653273132105156</v>
      </c>
      <c r="E8" s="198">
        <v>91.984443367077873</v>
      </c>
      <c r="F8" s="198">
        <v>92.15898744757385</v>
      </c>
      <c r="G8" s="198">
        <v>92.18439051757943</v>
      </c>
      <c r="H8" s="198">
        <v>92.109933566013808</v>
      </c>
      <c r="I8" s="198">
        <v>91.734758103331899</v>
      </c>
      <c r="J8" s="198">
        <v>91.676208548872424</v>
      </c>
      <c r="K8" s="198">
        <v>91.9203732538206</v>
      </c>
      <c r="L8" s="198">
        <v>92.158575039635636</v>
      </c>
      <c r="M8" s="198">
        <v>92.252683186953561</v>
      </c>
      <c r="N8" s="198">
        <v>91.819834560494499</v>
      </c>
      <c r="O8" s="198">
        <v>92.396429988503527</v>
      </c>
      <c r="P8" s="198">
        <v>92.365580565846955</v>
      </c>
    </row>
    <row r="9" spans="1:16">
      <c r="A9" s="36"/>
    </row>
    <row r="10" spans="1:16">
      <c r="A10" s="36"/>
    </row>
    <row r="11" spans="1:16">
      <c r="A11" s="36" t="s">
        <v>253</v>
      </c>
      <c r="B11" s="99">
        <v>2008</v>
      </c>
      <c r="C11" s="99">
        <v>2009</v>
      </c>
      <c r="D11" s="99">
        <v>2010</v>
      </c>
      <c r="E11" s="99">
        <v>2011</v>
      </c>
      <c r="F11" s="99">
        <v>2012</v>
      </c>
      <c r="G11" s="99">
        <v>2013</v>
      </c>
      <c r="H11" s="99">
        <v>2014</v>
      </c>
      <c r="I11" s="99">
        <v>2015</v>
      </c>
      <c r="J11" s="99">
        <v>2016</v>
      </c>
      <c r="K11" s="99">
        <v>2017</v>
      </c>
      <c r="L11" s="99">
        <v>2018</v>
      </c>
      <c r="M11" s="99">
        <v>2019</v>
      </c>
      <c r="N11" s="99">
        <v>2020</v>
      </c>
      <c r="O11" s="99">
        <v>2021</v>
      </c>
      <c r="P11" s="99">
        <v>2022</v>
      </c>
    </row>
    <row r="12" spans="1:16">
      <c r="A12" s="36" t="s">
        <v>388</v>
      </c>
      <c r="B12" s="198">
        <v>70.087735443892257</v>
      </c>
      <c r="C12" s="198">
        <v>68.141559609890507</v>
      </c>
      <c r="D12" s="198">
        <v>68.031920934089953</v>
      </c>
      <c r="E12" s="198">
        <v>69.213717768636499</v>
      </c>
      <c r="F12" s="198">
        <v>69.667755352067118</v>
      </c>
      <c r="G12" s="198">
        <v>69.976646649509107</v>
      </c>
      <c r="H12" s="198">
        <v>70.276934749620636</v>
      </c>
      <c r="I12" s="198">
        <v>67.597803004604955</v>
      </c>
      <c r="J12" s="198">
        <v>67.893367461433698</v>
      </c>
      <c r="K12" s="198">
        <v>68.828695240895314</v>
      </c>
      <c r="L12" s="198">
        <v>69.945140424138202</v>
      </c>
      <c r="M12" s="198">
        <v>70.484461721238972</v>
      </c>
      <c r="N12" s="198">
        <v>68.469260180393377</v>
      </c>
      <c r="O12" s="198">
        <v>71.779224630396712</v>
      </c>
      <c r="P12" s="198">
        <v>72.755830658937725</v>
      </c>
    </row>
    <row r="13" spans="1:16">
      <c r="A13" s="36" t="s">
        <v>378</v>
      </c>
      <c r="B13" s="199">
        <v>56.773929642759747</v>
      </c>
      <c r="C13" s="199">
        <v>54.216852306336918</v>
      </c>
      <c r="D13" s="199">
        <v>53.750970328231631</v>
      </c>
      <c r="E13" s="199">
        <v>55.003208230470577</v>
      </c>
      <c r="F13" s="199">
        <v>55.230862697448359</v>
      </c>
      <c r="G13" s="199">
        <v>55.4663915319653</v>
      </c>
      <c r="H13" s="199">
        <v>55.882271913310987</v>
      </c>
      <c r="I13" s="199">
        <v>53.092453747537036</v>
      </c>
      <c r="J13" s="199">
        <v>52.571327932370551</v>
      </c>
      <c r="K13" s="199">
        <v>53.502121232819533</v>
      </c>
      <c r="L13" s="199">
        <v>54.927337969760558</v>
      </c>
      <c r="M13" s="199">
        <v>56.440950746844365</v>
      </c>
      <c r="N13" s="199">
        <v>53.680089945566479</v>
      </c>
      <c r="O13" s="199">
        <v>57.478842414099184</v>
      </c>
      <c r="P13" s="199">
        <v>58.169673673240119</v>
      </c>
    </row>
    <row r="14" spans="1:16">
      <c r="A14" s="36" t="s">
        <v>377</v>
      </c>
      <c r="B14" s="199">
        <v>73.18527632008437</v>
      </c>
      <c r="C14" s="199">
        <v>71.0934588147596</v>
      </c>
      <c r="D14" s="199">
        <v>71.425522833973545</v>
      </c>
      <c r="E14" s="199">
        <v>72.976714915040901</v>
      </c>
      <c r="F14" s="199">
        <v>73.598862019914662</v>
      </c>
      <c r="G14" s="199">
        <v>73.740412589262107</v>
      </c>
      <c r="H14" s="199">
        <v>73.692435527027953</v>
      </c>
      <c r="I14" s="199">
        <v>71.576083733617978</v>
      </c>
      <c r="J14" s="199">
        <v>72.40554339897885</v>
      </c>
      <c r="K14" s="199">
        <v>73.807273941555536</v>
      </c>
      <c r="L14" s="199">
        <v>74.88364963910486</v>
      </c>
      <c r="M14" s="199">
        <v>75.284131292687391</v>
      </c>
      <c r="N14" s="199">
        <v>72.42074376475091</v>
      </c>
      <c r="O14" s="199">
        <v>75.211388271520633</v>
      </c>
      <c r="P14" s="199">
        <v>76.807395143487852</v>
      </c>
    </row>
    <row r="15" spans="1:16">
      <c r="A15" s="36" t="s">
        <v>387</v>
      </c>
      <c r="B15" s="199">
        <v>78.063416073712162</v>
      </c>
      <c r="C15" s="199">
        <v>76.640626556926208</v>
      </c>
      <c r="D15" s="199">
        <v>76.303793346719488</v>
      </c>
      <c r="E15" s="199">
        <v>76.63449413134154</v>
      </c>
      <c r="F15" s="199">
        <v>76.789683660244307</v>
      </c>
      <c r="G15" s="199">
        <v>76.972922477764328</v>
      </c>
      <c r="H15" s="199">
        <v>77.025984204497504</v>
      </c>
      <c r="I15" s="199">
        <v>74.126721454015083</v>
      </c>
      <c r="J15" s="199">
        <v>74.781577533993072</v>
      </c>
      <c r="K15" s="199">
        <v>75.527526897014155</v>
      </c>
      <c r="L15" s="199">
        <v>76.703397299495052</v>
      </c>
      <c r="M15" s="199">
        <v>77.180887632724776</v>
      </c>
      <c r="N15" s="199">
        <v>75.469688209881326</v>
      </c>
      <c r="O15" s="199">
        <v>78.625363701092638</v>
      </c>
      <c r="P15" s="199">
        <v>78.792452214490254</v>
      </c>
    </row>
    <row r="16" spans="1:16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21" spans="1:16">
      <c r="A21" s="97"/>
    </row>
    <row r="50" spans="6:20"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6:20"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</row>
    <row r="52" spans="6:20"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</row>
    <row r="53" spans="6:20"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</row>
    <row r="54" spans="6:20"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6:20"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6:20"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</row>
    <row r="57" spans="6:20"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</row>
    <row r="58" spans="6:20"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</row>
    <row r="59" spans="6:20"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</row>
    <row r="60" spans="6:20"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</row>
    <row r="61" spans="6:20"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</row>
    <row r="62" spans="6:20"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</row>
    <row r="63" spans="6:20"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</row>
    <row r="64" spans="6:20">
      <c r="Q64" s="55"/>
      <c r="R64" s="55"/>
      <c r="S64" s="55"/>
      <c r="T64" s="55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98B8-E31D-4228-AA4E-E7C800740FFF}">
  <dimension ref="A1:E8"/>
  <sheetViews>
    <sheetView workbookViewId="0">
      <selection activeCell="J17" sqref="J17"/>
    </sheetView>
  </sheetViews>
  <sheetFormatPr baseColWidth="10" defaultColWidth="11.44140625" defaultRowHeight="14.4"/>
  <cols>
    <col min="1" max="1" width="50.6640625" style="6" bestFit="1" customWidth="1"/>
    <col min="2" max="2" width="13.88671875" style="6" customWidth="1"/>
    <col min="3" max="16384" width="11.44140625" style="6"/>
  </cols>
  <sheetData>
    <row r="1" spans="1:5">
      <c r="A1" s="7" t="s">
        <v>317</v>
      </c>
      <c r="B1" s="7" t="s">
        <v>318</v>
      </c>
    </row>
    <row r="3" spans="1:5">
      <c r="B3" s="6">
        <v>2000</v>
      </c>
      <c r="C3" s="6">
        <v>2010</v>
      </c>
      <c r="D3" s="6">
        <v>2023</v>
      </c>
    </row>
    <row r="4" spans="1:5">
      <c r="A4" s="19" t="s">
        <v>386</v>
      </c>
      <c r="B4" s="21">
        <f>(0.247103781121228+0.02)*100</f>
        <v>26.7103781121228</v>
      </c>
      <c r="C4" s="21">
        <f>(0.204433452522845+0.06)*100</f>
        <v>26.443345252284502</v>
      </c>
      <c r="D4" s="21">
        <f>(0.175249920219533+0.04)*100</f>
        <v>21.524992021953302</v>
      </c>
    </row>
    <row r="5" spans="1:5">
      <c r="A5" s="19" t="s">
        <v>799</v>
      </c>
      <c r="B5" s="21">
        <f>0.466580695587668*100</f>
        <v>46.658069558766805</v>
      </c>
      <c r="C5" s="21">
        <f>0.41226936829559*100</f>
        <v>41.226936829559001</v>
      </c>
      <c r="D5" s="21">
        <f>0.362166064271425*100</f>
        <v>36.216606427142501</v>
      </c>
    </row>
    <row r="6" spans="1:5">
      <c r="A6" s="19" t="s">
        <v>800</v>
      </c>
      <c r="B6" s="21">
        <f>0.209141817355518*100</f>
        <v>20.9141817355518</v>
      </c>
      <c r="C6" s="21">
        <f>0.23965315852205*100</f>
        <v>23.965315852204998</v>
      </c>
      <c r="D6" s="21">
        <f>0.281219115821556*100</f>
        <v>28.121911582155601</v>
      </c>
    </row>
    <row r="7" spans="1:5">
      <c r="A7" s="19" t="s">
        <v>801</v>
      </c>
      <c r="B7" s="21">
        <f>0.0584146514524087*100</f>
        <v>5.8414651452408695</v>
      </c>
      <c r="C7" s="21">
        <f>0.0794151767977751*100</f>
        <v>7.94151767977751</v>
      </c>
      <c r="D7" s="21">
        <f>0.138668643254087*100</f>
        <v>13.866864325408701</v>
      </c>
    </row>
    <row r="8" spans="1:5">
      <c r="C8" s="98"/>
      <c r="D8" s="98"/>
      <c r="E8" s="9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A862-F334-411F-BCCA-DD198FF0B0CC}">
  <dimension ref="A1:G31"/>
  <sheetViews>
    <sheetView workbookViewId="0">
      <selection activeCell="C43" sqref="C43"/>
    </sheetView>
  </sheetViews>
  <sheetFormatPr baseColWidth="10" defaultColWidth="11.44140625" defaultRowHeight="14.4"/>
  <cols>
    <col min="1" max="16384" width="11.44140625" style="6"/>
  </cols>
  <sheetData>
    <row r="1" spans="1:7">
      <c r="A1" s="107" t="s">
        <v>429</v>
      </c>
      <c r="B1" s="7" t="s">
        <v>428</v>
      </c>
    </row>
    <row r="4" spans="1:7">
      <c r="A4" s="6" t="s">
        <v>7</v>
      </c>
      <c r="B4" s="6" t="s">
        <v>427</v>
      </c>
      <c r="C4" s="6" t="s">
        <v>426</v>
      </c>
    </row>
    <row r="5" spans="1:7">
      <c r="A5" s="6">
        <v>1997</v>
      </c>
      <c r="B5" s="180">
        <v>2.1999999999999997</v>
      </c>
      <c r="C5" s="180"/>
      <c r="F5" s="177"/>
      <c r="G5" s="177"/>
    </row>
    <row r="6" spans="1:7">
      <c r="A6" s="6">
        <v>1998</v>
      </c>
      <c r="B6" s="180">
        <v>2.5</v>
      </c>
      <c r="C6" s="180"/>
      <c r="F6" s="177"/>
      <c r="G6" s="177"/>
    </row>
    <row r="7" spans="1:7">
      <c r="A7" s="6">
        <v>1999</v>
      </c>
      <c r="B7" s="180">
        <v>2.1</v>
      </c>
      <c r="C7" s="180"/>
      <c r="F7" s="177"/>
      <c r="G7" s="177"/>
    </row>
    <row r="8" spans="1:7">
      <c r="A8" s="6">
        <v>2000</v>
      </c>
      <c r="B8" s="180">
        <v>2.4</v>
      </c>
      <c r="C8" s="180"/>
      <c r="F8" s="177"/>
      <c r="G8" s="177"/>
    </row>
    <row r="9" spans="1:7">
      <c r="A9" s="6">
        <v>2001</v>
      </c>
      <c r="B9" s="180">
        <v>2.9000000000000004</v>
      </c>
      <c r="C9" s="180"/>
      <c r="F9" s="177"/>
      <c r="G9" s="177"/>
    </row>
    <row r="10" spans="1:7">
      <c r="A10" s="6">
        <v>2002</v>
      </c>
      <c r="B10" s="180">
        <v>3.5999999999999996</v>
      </c>
      <c r="C10" s="180"/>
      <c r="F10" s="177"/>
      <c r="G10" s="177"/>
    </row>
    <row r="11" spans="1:7">
      <c r="A11" s="6">
        <v>2003</v>
      </c>
      <c r="B11" s="180">
        <v>3.5999999999999996</v>
      </c>
      <c r="C11" s="180"/>
      <c r="F11" s="177"/>
      <c r="G11" s="177"/>
    </row>
    <row r="12" spans="1:7">
      <c r="A12" s="6">
        <v>2004</v>
      </c>
      <c r="B12" s="180">
        <v>3.6999999999999997</v>
      </c>
      <c r="C12" s="180"/>
      <c r="F12" s="177"/>
      <c r="G12" s="177"/>
    </row>
    <row r="13" spans="1:7">
      <c r="A13" s="6">
        <v>2005</v>
      </c>
      <c r="B13" s="180">
        <v>3.9</v>
      </c>
      <c r="C13" s="180"/>
      <c r="F13" s="177"/>
      <c r="G13" s="177"/>
    </row>
    <row r="14" spans="1:7">
      <c r="A14" s="6">
        <v>2006</v>
      </c>
      <c r="B14" s="180">
        <v>4.2</v>
      </c>
      <c r="C14" s="180"/>
      <c r="F14" s="177"/>
      <c r="G14" s="177"/>
    </row>
    <row r="15" spans="1:7">
      <c r="A15" s="6">
        <v>2007</v>
      </c>
      <c r="B15" s="180">
        <v>5</v>
      </c>
      <c r="C15" s="180"/>
      <c r="F15" s="177"/>
      <c r="G15" s="177"/>
    </row>
    <row r="16" spans="1:7">
      <c r="A16" s="6">
        <v>2008</v>
      </c>
      <c r="B16" s="180">
        <v>5.8999999999999995</v>
      </c>
      <c r="C16" s="180">
        <v>4.2</v>
      </c>
      <c r="F16" s="177"/>
      <c r="G16" s="177"/>
    </row>
    <row r="17" spans="1:7">
      <c r="A17" s="6">
        <v>2009</v>
      </c>
      <c r="B17" s="180">
        <v>6.1</v>
      </c>
      <c r="C17" s="180">
        <v>4.5</v>
      </c>
      <c r="F17" s="177"/>
      <c r="G17" s="177"/>
    </row>
    <row r="18" spans="1:7">
      <c r="A18" s="6">
        <v>2010</v>
      </c>
      <c r="B18" s="180">
        <v>6.2</v>
      </c>
      <c r="C18" s="180">
        <v>4.5</v>
      </c>
      <c r="F18" s="177"/>
      <c r="G18" s="177"/>
    </row>
    <row r="19" spans="1:7">
      <c r="A19" s="6">
        <v>2011</v>
      </c>
      <c r="B19" s="180">
        <v>6.4</v>
      </c>
      <c r="C19" s="180">
        <v>4.5999999999999996</v>
      </c>
      <c r="F19" s="177"/>
      <c r="G19" s="177"/>
    </row>
    <row r="20" spans="1:7">
      <c r="A20" s="6">
        <v>2012</v>
      </c>
      <c r="B20" s="180">
        <v>6.8000000000000007</v>
      </c>
      <c r="C20" s="180">
        <v>5.2</v>
      </c>
      <c r="F20" s="177"/>
      <c r="G20" s="177"/>
    </row>
    <row r="21" spans="1:7">
      <c r="A21" s="6">
        <v>2013</v>
      </c>
      <c r="B21" s="180">
        <v>6.8000000000000007</v>
      </c>
      <c r="C21" s="180">
        <v>5.0999999999999996</v>
      </c>
      <c r="F21" s="177"/>
      <c r="G21" s="177"/>
    </row>
    <row r="22" spans="1:7">
      <c r="A22" s="6">
        <v>2014</v>
      </c>
      <c r="B22" s="180">
        <v>7.1</v>
      </c>
      <c r="C22" s="180">
        <v>5.5</v>
      </c>
      <c r="F22" s="177"/>
      <c r="G22" s="177"/>
    </row>
    <row r="23" spans="1:7">
      <c r="A23" s="6">
        <v>2015</v>
      </c>
      <c r="B23" s="180">
        <v>7.8</v>
      </c>
      <c r="C23" s="180">
        <v>5.7</v>
      </c>
      <c r="F23" s="177"/>
      <c r="G23" s="177"/>
    </row>
    <row r="24" spans="1:7">
      <c r="A24" s="6">
        <v>2016</v>
      </c>
      <c r="B24" s="180">
        <v>7.7</v>
      </c>
      <c r="C24" s="180">
        <v>5.6000000000000005</v>
      </c>
      <c r="F24" s="177"/>
      <c r="G24" s="177"/>
    </row>
    <row r="25" spans="1:7">
      <c r="A25" s="6">
        <v>2017</v>
      </c>
      <c r="B25" s="180">
        <v>7.7</v>
      </c>
      <c r="C25" s="180">
        <v>5.8000000000000007</v>
      </c>
      <c r="F25" s="177"/>
      <c r="G25" s="177"/>
    </row>
    <row r="26" spans="1:7">
      <c r="A26" s="6">
        <v>2018</v>
      </c>
      <c r="B26" s="180">
        <v>7.7</v>
      </c>
      <c r="C26" s="180">
        <v>5.7</v>
      </c>
      <c r="F26" s="177"/>
      <c r="G26" s="177"/>
    </row>
    <row r="27" spans="1:7">
      <c r="A27" s="6">
        <v>2019</v>
      </c>
      <c r="B27" s="180">
        <v>7.8</v>
      </c>
      <c r="C27" s="180">
        <v>5.8000000000000007</v>
      </c>
      <c r="F27" s="177"/>
      <c r="G27" s="177"/>
    </row>
    <row r="28" spans="1:7">
      <c r="A28" s="6">
        <v>2020</v>
      </c>
      <c r="B28" s="180">
        <v>7.8</v>
      </c>
      <c r="C28" s="180">
        <v>5.7</v>
      </c>
      <c r="F28" s="177"/>
      <c r="G28" s="177"/>
    </row>
    <row r="29" spans="1:7">
      <c r="A29" s="6">
        <v>2021</v>
      </c>
      <c r="B29" s="180">
        <v>7.9</v>
      </c>
      <c r="C29" s="180">
        <v>5.8000000000000007</v>
      </c>
      <c r="F29" s="177"/>
      <c r="G29" s="177"/>
    </row>
    <row r="30" spans="1:7">
      <c r="A30" s="6">
        <v>2022</v>
      </c>
      <c r="B30" s="180">
        <v>7.5</v>
      </c>
      <c r="C30" s="180">
        <v>6.1</v>
      </c>
      <c r="F30" s="177"/>
      <c r="G30" s="177"/>
    </row>
    <row r="31" spans="1:7">
      <c r="A31" s="6">
        <v>2023</v>
      </c>
      <c r="B31" s="180">
        <v>7.3999999999999995</v>
      </c>
      <c r="C31" s="180"/>
      <c r="F31" s="177"/>
      <c r="G31" s="177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EAEB-6FDD-4B2F-9CD8-1279B18DF9AD}">
  <dimension ref="A1:J18"/>
  <sheetViews>
    <sheetView workbookViewId="0">
      <selection activeCell="C29" sqref="C29"/>
    </sheetView>
  </sheetViews>
  <sheetFormatPr baseColWidth="10" defaultColWidth="11.44140625" defaultRowHeight="14.4"/>
  <cols>
    <col min="1" max="16384" width="11.44140625" style="6"/>
  </cols>
  <sheetData>
    <row r="1" spans="1:10">
      <c r="A1" s="6" t="s">
        <v>319</v>
      </c>
      <c r="B1" s="6" t="s">
        <v>320</v>
      </c>
    </row>
    <row r="4" spans="1:10">
      <c r="B4" s="6" t="s">
        <v>393</v>
      </c>
      <c r="C4" s="6" t="s">
        <v>350</v>
      </c>
      <c r="D4" s="6" t="s">
        <v>392</v>
      </c>
      <c r="E4" s="6" t="s">
        <v>391</v>
      </c>
    </row>
    <row r="5" spans="1:10">
      <c r="A5" s="6">
        <v>2010</v>
      </c>
      <c r="B5" s="55">
        <v>0.77957302168691089</v>
      </c>
      <c r="C5" s="55">
        <v>0.70476383011807286</v>
      </c>
      <c r="D5" s="55">
        <v>0.55959364390713917</v>
      </c>
      <c r="E5" s="55">
        <v>0.38945481141177629</v>
      </c>
      <c r="G5" s="200"/>
      <c r="H5" s="200"/>
      <c r="I5" s="200"/>
      <c r="J5" s="200"/>
    </row>
    <row r="6" spans="1:10">
      <c r="A6" s="6">
        <v>2011</v>
      </c>
      <c r="B6" s="55">
        <v>0.72332882171665513</v>
      </c>
      <c r="C6" s="55">
        <v>0.71550071789698733</v>
      </c>
      <c r="D6" s="55">
        <v>0.50463506515459422</v>
      </c>
      <c r="E6" s="55">
        <v>0.27852927846359493</v>
      </c>
      <c r="G6" s="200"/>
      <c r="H6" s="200"/>
      <c r="I6" s="200"/>
      <c r="J6" s="200"/>
    </row>
    <row r="7" spans="1:10">
      <c r="A7" s="6">
        <v>2012</v>
      </c>
      <c r="B7" s="55">
        <f>B6+B8/100</f>
        <v>0.73051684310490161</v>
      </c>
      <c r="C7" s="55">
        <f>C6+C8/100</f>
        <v>0.72232491086427919</v>
      </c>
      <c r="D7" s="55">
        <f>D6+D8/100</f>
        <v>0.50957214075167878</v>
      </c>
      <c r="E7" s="55">
        <f>E6+E8/100</f>
        <v>0.28084394923184614</v>
      </c>
      <c r="G7" s="200"/>
      <c r="H7" s="200"/>
      <c r="I7" s="200"/>
      <c r="J7" s="200"/>
    </row>
    <row r="8" spans="1:10">
      <c r="A8" s="6">
        <v>2013</v>
      </c>
      <c r="B8" s="55">
        <v>0.71880213882465116</v>
      </c>
      <c r="C8" s="55">
        <v>0.68241929672918422</v>
      </c>
      <c r="D8" s="55">
        <v>0.49370755970845764</v>
      </c>
      <c r="E8" s="55">
        <v>0.23146707682511888</v>
      </c>
      <c r="G8" s="200"/>
      <c r="H8" s="200"/>
      <c r="I8" s="200"/>
      <c r="J8" s="200"/>
    </row>
    <row r="9" spans="1:10">
      <c r="A9" s="6">
        <v>2014</v>
      </c>
      <c r="B9" s="55">
        <f>B8+B10/100</f>
        <v>0.72586432401694501</v>
      </c>
      <c r="C9" s="55">
        <f>C8+C10/100</f>
        <v>0.68914309349286296</v>
      </c>
      <c r="D9" s="55">
        <f>D8+D10/100</f>
        <v>0.49845132888174259</v>
      </c>
      <c r="E9" s="55">
        <f>E8+E10/100</f>
        <v>0.23367002218679128</v>
      </c>
      <c r="G9" s="200"/>
      <c r="H9" s="200"/>
      <c r="I9" s="200"/>
      <c r="J9" s="200"/>
    </row>
    <row r="10" spans="1:10">
      <c r="A10" s="6">
        <v>2015</v>
      </c>
      <c r="B10" s="55">
        <v>0.70621851922938594</v>
      </c>
      <c r="C10" s="55">
        <v>0.67237967636787088</v>
      </c>
      <c r="D10" s="55">
        <v>0.47437691732849463</v>
      </c>
      <c r="E10" s="55">
        <v>0.22029453616724037</v>
      </c>
      <c r="G10" s="200"/>
      <c r="H10" s="200"/>
      <c r="I10" s="200"/>
      <c r="J10" s="200"/>
    </row>
    <row r="11" spans="1:10">
      <c r="A11" s="6">
        <v>2016</v>
      </c>
      <c r="B11" s="55">
        <v>0.69942036790679452</v>
      </c>
      <c r="C11" s="55">
        <v>0.63556152957410672</v>
      </c>
      <c r="D11" s="55">
        <v>0.48600575455434902</v>
      </c>
      <c r="E11" s="55">
        <v>0.28205626957213803</v>
      </c>
      <c r="G11" s="200"/>
      <c r="H11" s="200"/>
      <c r="I11" s="200"/>
      <c r="J11" s="200"/>
    </row>
    <row r="12" spans="1:10">
      <c r="A12" s="6">
        <v>2017</v>
      </c>
      <c r="B12" s="55">
        <v>0.63615072414842921</v>
      </c>
      <c r="C12" s="55">
        <v>0.62656637082827871</v>
      </c>
      <c r="D12" s="55">
        <v>0.44292058013413793</v>
      </c>
      <c r="E12" s="55">
        <v>0.24488257318076581</v>
      </c>
      <c r="G12" s="200"/>
      <c r="H12" s="200"/>
      <c r="I12" s="200"/>
      <c r="J12" s="200"/>
    </row>
    <row r="13" spans="1:10">
      <c r="A13" s="6">
        <v>2018</v>
      </c>
      <c r="B13" s="55">
        <v>0.72604686812712527</v>
      </c>
      <c r="C13" s="55">
        <v>0.65314715649582755</v>
      </c>
      <c r="D13" s="55">
        <v>0.4254564703168135</v>
      </c>
      <c r="E13" s="55">
        <v>0.24812677050814499</v>
      </c>
      <c r="G13" s="200"/>
      <c r="H13" s="200"/>
      <c r="I13" s="200"/>
      <c r="J13" s="200"/>
    </row>
    <row r="14" spans="1:10">
      <c r="A14" s="6">
        <v>2019</v>
      </c>
      <c r="B14" s="55">
        <v>0.66370003204327377</v>
      </c>
      <c r="C14" s="55">
        <v>0.61927444955108979</v>
      </c>
      <c r="D14" s="55">
        <v>0.44102093887601301</v>
      </c>
      <c r="E14" s="55">
        <v>0.19692039848028195</v>
      </c>
      <c r="G14" s="200"/>
      <c r="H14" s="200"/>
      <c r="I14" s="200"/>
      <c r="J14" s="200"/>
    </row>
    <row r="15" spans="1:10">
      <c r="A15" s="6">
        <v>2020</v>
      </c>
      <c r="B15" s="55">
        <v>0.5916073008721211</v>
      </c>
      <c r="C15" s="55">
        <v>0.62832282455117927</v>
      </c>
      <c r="D15" s="55">
        <v>0.45703067996935559</v>
      </c>
      <c r="E15" s="55">
        <v>0.21051135501580862</v>
      </c>
      <c r="G15" s="200"/>
      <c r="H15" s="200"/>
      <c r="I15" s="200"/>
      <c r="J15" s="200"/>
    </row>
    <row r="16" spans="1:10">
      <c r="A16" s="6">
        <v>2021</v>
      </c>
      <c r="B16" s="55">
        <v>0.58775165371743998</v>
      </c>
      <c r="C16" s="55">
        <v>0.60711200605472404</v>
      </c>
      <c r="D16" s="55">
        <v>0.44410896375987219</v>
      </c>
      <c r="E16" s="55">
        <v>0.21409797007168441</v>
      </c>
      <c r="G16" s="200"/>
      <c r="H16" s="200"/>
      <c r="I16" s="200"/>
      <c r="J16" s="200"/>
    </row>
    <row r="17" spans="1:10">
      <c r="A17" s="6">
        <v>2022</v>
      </c>
      <c r="B17" s="55">
        <v>0.48844938598311849</v>
      </c>
      <c r="C17" s="55">
        <v>0.55151692109311679</v>
      </c>
      <c r="D17" s="55">
        <v>0.40675796596252844</v>
      </c>
      <c r="E17" s="55">
        <v>0.1881995682653744</v>
      </c>
      <c r="G17" s="200"/>
      <c r="H17" s="200"/>
      <c r="I17" s="200"/>
      <c r="J17" s="200"/>
    </row>
    <row r="18" spans="1:10">
      <c r="A18" s="6">
        <v>2023</v>
      </c>
      <c r="B18" s="55">
        <v>0.61782756709737907</v>
      </c>
      <c r="C18" s="55">
        <v>0.5625584027074092</v>
      </c>
      <c r="D18" s="55">
        <v>0.4272699662328126</v>
      </c>
      <c r="E18" s="55">
        <v>0.18666182166440837</v>
      </c>
      <c r="G18" s="200"/>
      <c r="H18" s="200"/>
      <c r="I18" s="200"/>
      <c r="J18" s="200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C072-1202-4BEB-8076-D1D45070376F}">
  <dimension ref="A1:D12"/>
  <sheetViews>
    <sheetView zoomScale="95" zoomScaleNormal="95" workbookViewId="0">
      <selection activeCell="C19" sqref="C19"/>
    </sheetView>
  </sheetViews>
  <sheetFormatPr baseColWidth="10" defaultColWidth="11.44140625" defaultRowHeight="14.4"/>
  <cols>
    <col min="1" max="2" width="11.44140625" style="6"/>
    <col min="3" max="3" width="28.5546875" style="6" customWidth="1"/>
    <col min="4" max="16384" width="11.44140625" style="6"/>
  </cols>
  <sheetData>
    <row r="1" spans="1:4">
      <c r="A1" s="7" t="s">
        <v>321</v>
      </c>
      <c r="B1" s="7" t="s">
        <v>733</v>
      </c>
    </row>
    <row r="3" spans="1:4">
      <c r="A3" s="103"/>
      <c r="B3" s="6" t="s">
        <v>397</v>
      </c>
      <c r="C3" s="6" t="s">
        <v>396</v>
      </c>
      <c r="D3" s="6" t="s">
        <v>395</v>
      </c>
    </row>
    <row r="4" spans="1:4">
      <c r="A4" s="101" t="s">
        <v>44</v>
      </c>
      <c r="B4" s="102">
        <v>2.6</v>
      </c>
      <c r="C4" s="102">
        <v>2</v>
      </c>
      <c r="D4" s="50">
        <v>2.9964129367596062</v>
      </c>
    </row>
    <row r="5" spans="1:4">
      <c r="A5" s="101" t="s">
        <v>47</v>
      </c>
      <c r="B5" s="50">
        <v>5.8</v>
      </c>
      <c r="C5" s="50">
        <v>1.9</v>
      </c>
      <c r="D5" s="50">
        <v>2.9176511468785487</v>
      </c>
    </row>
    <row r="6" spans="1:4">
      <c r="A6" s="101" t="s">
        <v>802</v>
      </c>
      <c r="B6" s="50">
        <v>7.4</v>
      </c>
      <c r="C6" s="50">
        <v>2</v>
      </c>
      <c r="D6" s="50">
        <v>1.4723179093636087</v>
      </c>
    </row>
    <row r="7" spans="1:4">
      <c r="A7" s="101" t="s">
        <v>45</v>
      </c>
      <c r="B7" s="50">
        <v>10.1</v>
      </c>
      <c r="C7" s="50">
        <v>1.5</v>
      </c>
      <c r="D7" s="50">
        <v>1.6384560832235131</v>
      </c>
    </row>
    <row r="8" spans="1:4">
      <c r="A8" s="101" t="s">
        <v>394</v>
      </c>
      <c r="B8" s="50">
        <v>7.9</v>
      </c>
      <c r="C8" s="50">
        <v>3.7</v>
      </c>
      <c r="D8" s="50">
        <v>2.4357336250610118</v>
      </c>
    </row>
    <row r="9" spans="1:4">
      <c r="A9" s="101" t="s">
        <v>48</v>
      </c>
      <c r="B9" s="50">
        <v>10.1</v>
      </c>
      <c r="C9" s="50">
        <v>1</v>
      </c>
      <c r="D9" s="50">
        <v>3.1359799455030721</v>
      </c>
    </row>
    <row r="10" spans="1:4">
      <c r="A10" s="101" t="s">
        <v>41</v>
      </c>
      <c r="B10" s="50">
        <v>6.8</v>
      </c>
      <c r="C10" s="50">
        <v>4.7</v>
      </c>
      <c r="D10" s="50">
        <v>4.5992426745561907</v>
      </c>
    </row>
    <row r="11" spans="1:4">
      <c r="A11" s="101" t="s">
        <v>53</v>
      </c>
      <c r="B11" s="50">
        <v>12.5</v>
      </c>
      <c r="C11" s="50">
        <v>0.5</v>
      </c>
      <c r="D11" s="50">
        <v>3.2101808248872814</v>
      </c>
    </row>
    <row r="12" spans="1:4">
      <c r="A12" s="101" t="s">
        <v>40</v>
      </c>
      <c r="B12" s="50">
        <v>11.3</v>
      </c>
      <c r="C12" s="50">
        <v>3.3</v>
      </c>
      <c r="D12" s="50">
        <v>5.4705275489201366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7045-F43D-43B8-960A-1F9CD160A43E}">
  <dimension ref="A1:D31"/>
  <sheetViews>
    <sheetView zoomScale="90" zoomScaleNormal="90" workbookViewId="0">
      <selection activeCell="D4" sqref="D4"/>
    </sheetView>
  </sheetViews>
  <sheetFormatPr baseColWidth="10" defaultColWidth="11.44140625" defaultRowHeight="14.4"/>
  <cols>
    <col min="1" max="16384" width="11.44140625" style="6"/>
  </cols>
  <sheetData>
    <row r="1" spans="1:4">
      <c r="A1" s="7" t="s">
        <v>322</v>
      </c>
      <c r="B1" s="7" t="s">
        <v>323</v>
      </c>
    </row>
    <row r="2" spans="1:4">
      <c r="C2" s="105"/>
    </row>
    <row r="4" spans="1:4">
      <c r="B4" s="6" t="s">
        <v>400</v>
      </c>
      <c r="C4" s="6" t="s">
        <v>399</v>
      </c>
      <c r="D4" s="6" t="s">
        <v>398</v>
      </c>
    </row>
    <row r="5" spans="1:4">
      <c r="A5" s="6">
        <v>1997</v>
      </c>
      <c r="B5" s="104">
        <v>31957</v>
      </c>
      <c r="C5" s="104">
        <v>-21257</v>
      </c>
      <c r="D5" s="104">
        <v>10700</v>
      </c>
    </row>
    <row r="6" spans="1:4">
      <c r="A6" s="6">
        <v>1998</v>
      </c>
      <c r="B6" s="104">
        <v>36704</v>
      </c>
      <c r="C6" s="104">
        <v>-22881</v>
      </c>
      <c r="D6" s="104">
        <v>13823</v>
      </c>
    </row>
    <row r="7" spans="1:4">
      <c r="A7" s="6">
        <v>1999</v>
      </c>
      <c r="B7" s="104">
        <v>41841</v>
      </c>
      <c r="C7" s="104">
        <v>-22842</v>
      </c>
      <c r="D7" s="104">
        <v>18999</v>
      </c>
    </row>
    <row r="8" spans="1:4">
      <c r="A8" s="6">
        <v>2000</v>
      </c>
      <c r="B8" s="104">
        <v>36542</v>
      </c>
      <c r="C8" s="104">
        <v>-26854</v>
      </c>
      <c r="D8" s="104">
        <v>9688</v>
      </c>
    </row>
    <row r="9" spans="1:4">
      <c r="A9" s="6">
        <v>2001</v>
      </c>
      <c r="B9" s="104">
        <v>34264</v>
      </c>
      <c r="C9" s="104">
        <v>-26309</v>
      </c>
      <c r="D9" s="104">
        <v>7955</v>
      </c>
    </row>
    <row r="10" spans="1:4">
      <c r="A10" s="6">
        <v>2002</v>
      </c>
      <c r="B10" s="104">
        <v>40122</v>
      </c>
      <c r="C10" s="104">
        <v>-22948</v>
      </c>
      <c r="D10" s="104">
        <v>17174</v>
      </c>
    </row>
    <row r="11" spans="1:4">
      <c r="A11" s="6">
        <v>2003</v>
      </c>
      <c r="B11" s="104">
        <v>35957</v>
      </c>
      <c r="C11" s="104">
        <v>-24672</v>
      </c>
      <c r="D11" s="104">
        <v>11285</v>
      </c>
    </row>
    <row r="12" spans="1:4">
      <c r="A12" s="6">
        <v>2004</v>
      </c>
      <c r="B12" s="104">
        <v>36482</v>
      </c>
      <c r="C12" s="104">
        <v>-23271</v>
      </c>
      <c r="D12" s="104">
        <v>13211</v>
      </c>
    </row>
    <row r="13" spans="1:4">
      <c r="A13" s="6">
        <v>2005</v>
      </c>
      <c r="B13" s="104">
        <v>40148</v>
      </c>
      <c r="C13" s="104">
        <v>-21709</v>
      </c>
      <c r="D13" s="104">
        <v>18439</v>
      </c>
    </row>
    <row r="14" spans="1:4">
      <c r="A14" s="6">
        <v>2006</v>
      </c>
      <c r="B14" s="104">
        <v>45776</v>
      </c>
      <c r="C14" s="104">
        <v>-22053</v>
      </c>
      <c r="D14" s="104">
        <v>23723</v>
      </c>
    </row>
    <row r="15" spans="1:4">
      <c r="A15" s="6">
        <v>2007</v>
      </c>
      <c r="B15" s="104">
        <v>61774</v>
      </c>
      <c r="C15" s="104">
        <v>-22122</v>
      </c>
      <c r="D15" s="104">
        <v>39652</v>
      </c>
    </row>
    <row r="16" spans="1:4">
      <c r="A16" s="6">
        <v>2008</v>
      </c>
      <c r="B16" s="104">
        <v>66961</v>
      </c>
      <c r="C16" s="104">
        <f>-23615</f>
        <v>-23615</v>
      </c>
      <c r="D16" s="104">
        <v>43346</v>
      </c>
    </row>
    <row r="17" spans="1:4">
      <c r="A17" s="6">
        <v>2009</v>
      </c>
      <c r="B17" s="104">
        <v>65186</v>
      </c>
      <c r="C17" s="104">
        <v>-26549</v>
      </c>
      <c r="D17" s="104">
        <v>38637</v>
      </c>
    </row>
    <row r="18" spans="1:4">
      <c r="A18" s="6">
        <v>2010</v>
      </c>
      <c r="B18" s="104">
        <v>73852</v>
      </c>
      <c r="C18" s="104">
        <v>-31506</v>
      </c>
      <c r="D18" s="104">
        <v>42346</v>
      </c>
    </row>
    <row r="19" spans="1:4">
      <c r="A19" s="6">
        <v>2011</v>
      </c>
      <c r="B19" s="104">
        <v>79498</v>
      </c>
      <c r="C19" s="104">
        <v>-32466</v>
      </c>
      <c r="D19" s="104">
        <v>47032</v>
      </c>
    </row>
    <row r="20" spans="1:4">
      <c r="A20" s="6">
        <v>2012</v>
      </c>
      <c r="B20" s="104">
        <v>78570</v>
      </c>
      <c r="C20" s="104">
        <v>-31227</v>
      </c>
      <c r="D20" s="104">
        <v>47343</v>
      </c>
    </row>
    <row r="21" spans="1:4">
      <c r="A21" s="6">
        <v>2013</v>
      </c>
      <c r="B21" s="104">
        <v>75789</v>
      </c>
      <c r="C21" s="104">
        <v>-35716</v>
      </c>
      <c r="D21" s="104">
        <v>40073</v>
      </c>
    </row>
    <row r="22" spans="1:4">
      <c r="A22" s="6">
        <v>2014</v>
      </c>
      <c r="B22" s="104">
        <v>70030</v>
      </c>
      <c r="C22" s="104">
        <v>-31875</v>
      </c>
      <c r="D22" s="104">
        <v>38155</v>
      </c>
    </row>
    <row r="23" spans="1:4">
      <c r="A23" s="6">
        <v>2015</v>
      </c>
      <c r="B23" s="104">
        <v>67276</v>
      </c>
      <c r="C23" s="104">
        <v>-37474</v>
      </c>
      <c r="D23" s="104">
        <v>29802</v>
      </c>
    </row>
    <row r="24" spans="1:4">
      <c r="A24" s="6">
        <v>2016</v>
      </c>
      <c r="B24" s="104">
        <v>66800</v>
      </c>
      <c r="C24" s="104">
        <v>-40724</v>
      </c>
      <c r="D24" s="104">
        <v>26076</v>
      </c>
    </row>
    <row r="25" spans="1:4">
      <c r="A25" s="6">
        <v>2017</v>
      </c>
      <c r="B25" s="104">
        <v>58192</v>
      </c>
      <c r="C25" s="104">
        <v>-36843</v>
      </c>
      <c r="D25" s="104">
        <v>21349</v>
      </c>
    </row>
    <row r="26" spans="1:4">
      <c r="A26" s="6">
        <v>2018</v>
      </c>
      <c r="B26" s="104">
        <v>52485</v>
      </c>
      <c r="C26" s="104">
        <v>-34382</v>
      </c>
      <c r="D26" s="104">
        <v>18103</v>
      </c>
    </row>
    <row r="27" spans="1:4">
      <c r="A27" s="6">
        <v>2019</v>
      </c>
      <c r="B27" s="104">
        <v>52153</v>
      </c>
      <c r="C27" s="104">
        <v>-26826</v>
      </c>
      <c r="D27" s="104">
        <v>25327</v>
      </c>
    </row>
    <row r="28" spans="1:4">
      <c r="A28" s="6">
        <v>2020</v>
      </c>
      <c r="B28" s="104">
        <v>38071</v>
      </c>
      <c r="C28" s="104">
        <v>-26744</v>
      </c>
      <c r="D28" s="104">
        <v>11327</v>
      </c>
    </row>
    <row r="29" spans="1:4">
      <c r="A29" s="6">
        <v>2021</v>
      </c>
      <c r="B29" s="104">
        <v>53947</v>
      </c>
      <c r="C29" s="104">
        <v>-34297</v>
      </c>
      <c r="D29" s="104">
        <v>19650</v>
      </c>
    </row>
    <row r="30" spans="1:4">
      <c r="A30" s="6">
        <v>2022</v>
      </c>
      <c r="B30" s="104">
        <v>90475</v>
      </c>
      <c r="C30" s="104">
        <v>-32536</v>
      </c>
      <c r="D30" s="104">
        <v>57939</v>
      </c>
    </row>
    <row r="31" spans="1:4">
      <c r="A31" s="6">
        <v>2023</v>
      </c>
      <c r="B31" s="104">
        <v>86589</v>
      </c>
      <c r="C31" s="104">
        <v>-34011</v>
      </c>
      <c r="D31" s="104">
        <v>52578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42D3-98F0-42D7-A476-CA5A0330797C}">
  <dimension ref="A1:D10"/>
  <sheetViews>
    <sheetView workbookViewId="0">
      <selection activeCell="D51" sqref="D51"/>
    </sheetView>
  </sheetViews>
  <sheetFormatPr baseColWidth="10" defaultColWidth="11.44140625" defaultRowHeight="14.4"/>
  <cols>
    <col min="1" max="1" width="34.88671875" style="6" bestFit="1" customWidth="1"/>
    <col min="2" max="16384" width="11.44140625" style="6"/>
  </cols>
  <sheetData>
    <row r="1" spans="1:4">
      <c r="A1" s="7" t="s">
        <v>324</v>
      </c>
      <c r="B1" s="7" t="s">
        <v>325</v>
      </c>
    </row>
    <row r="4" spans="1:4">
      <c r="B4" s="6">
        <v>2001</v>
      </c>
      <c r="C4" s="6">
        <v>2011</v>
      </c>
      <c r="D4" s="6">
        <v>2023</v>
      </c>
    </row>
    <row r="5" spans="1:4">
      <c r="A5" s="6" t="s">
        <v>406</v>
      </c>
      <c r="B5" s="50">
        <v>5.883692307692308</v>
      </c>
      <c r="C5" s="50">
        <v>11.989929742388759</v>
      </c>
      <c r="D5" s="50">
        <v>18.867524664298088</v>
      </c>
    </row>
    <row r="6" spans="1:4">
      <c r="A6" s="6" t="s">
        <v>405</v>
      </c>
      <c r="B6" s="50">
        <v>1.4547692307692308</v>
      </c>
      <c r="C6" s="50">
        <v>1.7774004683840752</v>
      </c>
      <c r="D6" s="50">
        <v>1.595258437841681</v>
      </c>
    </row>
    <row r="7" spans="1:4">
      <c r="A7" s="6" t="s">
        <v>404</v>
      </c>
      <c r="B7" s="50">
        <v>0.83358241758241747</v>
      </c>
      <c r="C7" s="50">
        <v>1.4481654957064793</v>
      </c>
      <c r="D7" s="50">
        <v>1.9632679355865643</v>
      </c>
    </row>
    <row r="8" spans="1:4">
      <c r="A8" s="6" t="s">
        <v>403</v>
      </c>
      <c r="B8" s="50">
        <v>0</v>
      </c>
      <c r="C8" s="50">
        <v>2.9633879781420767</v>
      </c>
      <c r="D8" s="50">
        <v>5.2731040973785959</v>
      </c>
    </row>
    <row r="9" spans="1:4">
      <c r="A9" s="6" t="s">
        <v>402</v>
      </c>
      <c r="B9" s="50">
        <v>2.2617582417582418</v>
      </c>
      <c r="C9" s="50">
        <v>4.0301327088212329</v>
      </c>
      <c r="D9" s="50">
        <v>7.2775626672271212</v>
      </c>
    </row>
    <row r="10" spans="1:4">
      <c r="A10" s="6" t="s">
        <v>401</v>
      </c>
      <c r="B10" s="50">
        <v>1.3335824175824178</v>
      </c>
      <c r="C10" s="50">
        <v>1.7708430913348945</v>
      </c>
      <c r="D10" s="50">
        <v>2.7583315262641253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7091-8D4A-401F-8D2B-0592E85C36BB}">
  <dimension ref="A1:F21"/>
  <sheetViews>
    <sheetView workbookViewId="0">
      <selection activeCell="M34" sqref="M34"/>
    </sheetView>
  </sheetViews>
  <sheetFormatPr baseColWidth="10" defaultColWidth="11.44140625" defaultRowHeight="14.4"/>
  <cols>
    <col min="1" max="16384" width="11.44140625" style="6"/>
  </cols>
  <sheetData>
    <row r="1" spans="1:6">
      <c r="A1" s="100" t="s">
        <v>326</v>
      </c>
      <c r="B1" s="7" t="s">
        <v>327</v>
      </c>
    </row>
    <row r="5" spans="1:6">
      <c r="A5" s="6" t="s">
        <v>7</v>
      </c>
      <c r="B5" s="6" t="s">
        <v>411</v>
      </c>
      <c r="C5" s="6" t="s">
        <v>410</v>
      </c>
      <c r="D5" s="6" t="s">
        <v>409</v>
      </c>
      <c r="E5" s="6" t="s">
        <v>408</v>
      </c>
      <c r="F5" s="6" t="s">
        <v>407</v>
      </c>
    </row>
    <row r="6" spans="1:6">
      <c r="A6" s="6">
        <v>2007</v>
      </c>
      <c r="B6" s="6">
        <v>48748</v>
      </c>
      <c r="C6" s="6">
        <v>46792</v>
      </c>
      <c r="D6" s="6">
        <v>15582</v>
      </c>
      <c r="E6" s="6">
        <v>9811</v>
      </c>
      <c r="F6" s="6">
        <v>120933</v>
      </c>
    </row>
    <row r="7" spans="1:6">
      <c r="A7" s="6">
        <v>2008</v>
      </c>
      <c r="B7" s="6">
        <v>57816</v>
      </c>
      <c r="C7" s="6">
        <v>54512</v>
      </c>
      <c r="D7" s="6">
        <v>17072</v>
      </c>
      <c r="E7" s="6">
        <v>11370</v>
      </c>
      <c r="F7" s="6">
        <v>140770</v>
      </c>
    </row>
    <row r="8" spans="1:6">
      <c r="A8" s="6">
        <v>2009</v>
      </c>
      <c r="B8" s="6">
        <v>58057</v>
      </c>
      <c r="C8" s="6">
        <v>47984</v>
      </c>
      <c r="D8" s="6">
        <v>16210</v>
      </c>
      <c r="E8" s="6">
        <v>12492</v>
      </c>
      <c r="F8" s="6">
        <v>134743</v>
      </c>
    </row>
    <row r="9" spans="1:6">
      <c r="A9" s="6">
        <v>2010</v>
      </c>
      <c r="B9" s="6">
        <v>58275</v>
      </c>
      <c r="C9" s="6">
        <v>42822</v>
      </c>
      <c r="D9" s="6">
        <v>13480</v>
      </c>
      <c r="E9" s="6">
        <v>12669</v>
      </c>
      <c r="F9" s="6">
        <v>127246</v>
      </c>
    </row>
    <row r="10" spans="1:6">
      <c r="A10" s="6">
        <v>2011</v>
      </c>
      <c r="B10" s="6">
        <v>57437</v>
      </c>
      <c r="C10" s="6">
        <v>44886</v>
      </c>
      <c r="D10" s="6">
        <v>15039</v>
      </c>
      <c r="E10" s="6">
        <v>15929</v>
      </c>
      <c r="F10" s="6">
        <v>133291</v>
      </c>
    </row>
    <row r="11" spans="1:6">
      <c r="A11" s="6">
        <v>2012</v>
      </c>
      <c r="B11" s="6">
        <v>62057</v>
      </c>
      <c r="C11" s="6">
        <v>54378</v>
      </c>
      <c r="D11" s="6">
        <v>17253</v>
      </c>
      <c r="E11" s="6">
        <v>14281</v>
      </c>
      <c r="F11" s="6">
        <v>147969</v>
      </c>
    </row>
    <row r="12" spans="1:6">
      <c r="A12" s="6">
        <v>2013</v>
      </c>
      <c r="B12" s="6">
        <v>68080</v>
      </c>
      <c r="C12" s="6">
        <v>61476</v>
      </c>
      <c r="D12" s="6">
        <v>18706</v>
      </c>
      <c r="E12" s="6">
        <v>14842</v>
      </c>
      <c r="F12" s="6">
        <v>163104</v>
      </c>
    </row>
    <row r="13" spans="1:6">
      <c r="A13" s="6">
        <v>2014</v>
      </c>
      <c r="B13" s="6">
        <v>65375</v>
      </c>
      <c r="C13" s="6">
        <v>66736</v>
      </c>
      <c r="D13" s="6">
        <v>19090</v>
      </c>
      <c r="E13" s="6">
        <v>14103</v>
      </c>
      <c r="F13" s="6">
        <v>165304</v>
      </c>
    </row>
    <row r="14" spans="1:6">
      <c r="A14" s="6">
        <v>2015</v>
      </c>
      <c r="B14" s="6">
        <v>60573</v>
      </c>
      <c r="C14" s="6">
        <v>80476</v>
      </c>
      <c r="D14" s="6">
        <v>18214</v>
      </c>
      <c r="E14" s="6">
        <v>11133</v>
      </c>
      <c r="F14" s="6">
        <v>170396</v>
      </c>
    </row>
    <row r="15" spans="1:6">
      <c r="A15" s="6">
        <v>2016</v>
      </c>
      <c r="B15" s="6">
        <v>51178</v>
      </c>
      <c r="C15" s="6">
        <v>84920</v>
      </c>
      <c r="D15" s="6">
        <v>17946</v>
      </c>
      <c r="E15" s="6">
        <v>10820</v>
      </c>
      <c r="F15" s="6">
        <v>164864</v>
      </c>
    </row>
    <row r="16" spans="1:6">
      <c r="A16" s="6">
        <v>2017</v>
      </c>
      <c r="B16" s="6">
        <v>45716</v>
      </c>
      <c r="C16" s="6">
        <v>93726</v>
      </c>
      <c r="D16" s="6">
        <v>18880</v>
      </c>
      <c r="E16" s="6">
        <v>11464</v>
      </c>
      <c r="F16" s="6">
        <v>169786</v>
      </c>
    </row>
    <row r="17" spans="1:6">
      <c r="A17" s="6">
        <v>2018</v>
      </c>
      <c r="B17" s="6">
        <v>41435</v>
      </c>
      <c r="C17" s="6">
        <v>103239</v>
      </c>
      <c r="D17" s="6">
        <v>18281</v>
      </c>
      <c r="E17" s="6">
        <v>10352</v>
      </c>
      <c r="F17" s="6">
        <v>173307</v>
      </c>
    </row>
    <row r="18" spans="1:6">
      <c r="A18" s="6">
        <v>2019</v>
      </c>
      <c r="B18" s="6">
        <v>40702</v>
      </c>
      <c r="C18" s="6">
        <v>111994</v>
      </c>
      <c r="D18" s="6">
        <v>19661</v>
      </c>
      <c r="E18" s="6">
        <v>11420</v>
      </c>
      <c r="F18" s="6">
        <v>183777</v>
      </c>
    </row>
    <row r="19" spans="1:6">
      <c r="A19" s="6">
        <v>2020</v>
      </c>
      <c r="B19" s="6">
        <v>36478</v>
      </c>
      <c r="C19" s="6">
        <v>92801</v>
      </c>
      <c r="D19" s="6">
        <v>16323</v>
      </c>
      <c r="E19" s="6">
        <v>9053</v>
      </c>
      <c r="F19" s="6">
        <v>154655</v>
      </c>
    </row>
    <row r="20" spans="1:6">
      <c r="A20" s="6">
        <v>2021</v>
      </c>
      <c r="B20" s="6">
        <v>33848</v>
      </c>
      <c r="C20" s="6">
        <v>86314</v>
      </c>
      <c r="D20" s="6">
        <v>16179</v>
      </c>
      <c r="E20" s="6">
        <v>8514</v>
      </c>
      <c r="F20" s="6">
        <v>144855</v>
      </c>
    </row>
    <row r="21" spans="1:6">
      <c r="A21" s="6">
        <v>2022</v>
      </c>
      <c r="B21" s="6">
        <v>37345</v>
      </c>
      <c r="C21" s="6">
        <v>102166</v>
      </c>
      <c r="D21" s="6">
        <v>19084</v>
      </c>
      <c r="E21" s="6">
        <v>10752</v>
      </c>
      <c r="F21" s="6">
        <v>169347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6C18-24E8-422D-B2A2-E6B18760042B}">
  <dimension ref="A1:F333"/>
  <sheetViews>
    <sheetView workbookViewId="0">
      <selection activeCell="D35" sqref="D35"/>
    </sheetView>
  </sheetViews>
  <sheetFormatPr baseColWidth="10" defaultColWidth="11.44140625" defaultRowHeight="14.4"/>
  <cols>
    <col min="1" max="16384" width="11.44140625" style="210"/>
  </cols>
  <sheetData>
    <row r="1" spans="1:2">
      <c r="A1" s="107" t="s">
        <v>806</v>
      </c>
      <c r="B1" s="7" t="s">
        <v>741</v>
      </c>
    </row>
    <row r="4" spans="1:2">
      <c r="A4" s="210">
        <v>66000</v>
      </c>
      <c r="B4" s="213">
        <v>1.1133216099999999E-2</v>
      </c>
    </row>
    <row r="5" spans="1:2">
      <c r="A5" s="210">
        <v>132000</v>
      </c>
      <c r="B5" s="213">
        <v>0.20926738819999999</v>
      </c>
    </row>
    <row r="6" spans="1:2">
      <c r="A6" s="210">
        <v>198000</v>
      </c>
      <c r="B6" s="213">
        <v>0.42547591530000001</v>
      </c>
    </row>
    <row r="7" spans="1:2">
      <c r="A7" s="210">
        <v>264000</v>
      </c>
      <c r="B7" s="213">
        <v>0.98768814510000003</v>
      </c>
    </row>
    <row r="8" spans="1:2">
      <c r="A8" s="210">
        <v>330000</v>
      </c>
      <c r="B8" s="213">
        <v>2.3590035261</v>
      </c>
    </row>
    <row r="9" spans="1:2">
      <c r="A9" s="210">
        <v>396000</v>
      </c>
      <c r="B9" s="213">
        <v>6.7956594895000002</v>
      </c>
    </row>
    <row r="10" spans="1:2">
      <c r="A10" s="210">
        <v>462000</v>
      </c>
      <c r="B10" s="213">
        <v>13.110028449</v>
      </c>
    </row>
    <row r="11" spans="1:2">
      <c r="A11" s="210">
        <v>528000</v>
      </c>
      <c r="B11" s="213">
        <v>14.807191522</v>
      </c>
    </row>
    <row r="12" spans="1:2">
      <c r="A12" s="210">
        <v>594000</v>
      </c>
      <c r="B12" s="213">
        <v>15.238954673</v>
      </c>
    </row>
    <row r="13" spans="1:2">
      <c r="A13" s="210">
        <v>660000</v>
      </c>
      <c r="B13" s="213">
        <v>12.100245748000001</v>
      </c>
    </row>
    <row r="14" spans="1:2">
      <c r="A14" s="210">
        <v>726000</v>
      </c>
      <c r="B14" s="213">
        <v>8.9180732472000006</v>
      </c>
    </row>
    <row r="15" spans="1:2">
      <c r="A15" s="210">
        <v>792000</v>
      </c>
      <c r="B15" s="213">
        <v>6.0464836262999997</v>
      </c>
    </row>
    <row r="16" spans="1:2">
      <c r="A16" s="210">
        <v>858000</v>
      </c>
      <c r="B16" s="213">
        <v>4.2905703187000004</v>
      </c>
    </row>
    <row r="17" spans="1:6">
      <c r="A17" s="210">
        <v>924000</v>
      </c>
      <c r="B17" s="213">
        <v>3.2685377340000001</v>
      </c>
    </row>
    <row r="18" spans="1:6">
      <c r="A18" s="210">
        <v>990000</v>
      </c>
      <c r="B18" s="213">
        <v>2.4841311496</v>
      </c>
    </row>
    <row r="19" spans="1:6">
      <c r="A19" s="210">
        <v>1056000</v>
      </c>
      <c r="B19" s="213">
        <v>1.7821073463999999</v>
      </c>
    </row>
    <row r="20" spans="1:6">
      <c r="A20" s="210">
        <v>1122000</v>
      </c>
      <c r="B20" s="213">
        <v>1.3738554439999999</v>
      </c>
    </row>
    <row r="21" spans="1:6">
      <c r="A21" s="210">
        <v>1188000</v>
      </c>
      <c r="B21" s="213">
        <v>1.1498550807000001</v>
      </c>
    </row>
    <row r="22" spans="1:6">
      <c r="A22" s="210">
        <v>1254000</v>
      </c>
      <c r="B22" s="213">
        <v>0.80460113769999997</v>
      </c>
    </row>
    <row r="23" spans="1:6">
      <c r="A23" s="210">
        <v>1320000</v>
      </c>
      <c r="B23" s="213">
        <v>0.68880124799999998</v>
      </c>
    </row>
    <row r="24" spans="1:6">
      <c r="A24" s="210">
        <v>1386000</v>
      </c>
      <c r="B24" s="213">
        <v>0.52361441269999998</v>
      </c>
    </row>
    <row r="25" spans="1:6">
      <c r="A25" s="210">
        <v>1452000</v>
      </c>
      <c r="B25" s="213">
        <v>0.4337790782</v>
      </c>
    </row>
    <row r="26" spans="1:6" ht="15.6">
      <c r="A26" s="210">
        <v>1518000</v>
      </c>
      <c r="B26" s="213">
        <v>0.37451192659999999</v>
      </c>
      <c r="F26" s="214"/>
    </row>
    <row r="27" spans="1:6">
      <c r="A27" s="210">
        <v>1584000</v>
      </c>
      <c r="B27" s="213">
        <v>0.29233711620000002</v>
      </c>
    </row>
    <row r="28" spans="1:6">
      <c r="A28" s="210">
        <v>1650000</v>
      </c>
      <c r="B28" s="213">
        <v>0.23186517340000001</v>
      </c>
    </row>
    <row r="29" spans="1:6">
      <c r="A29" s="210">
        <v>1716000</v>
      </c>
      <c r="B29" s="213">
        <v>0.1867731101</v>
      </c>
    </row>
    <row r="30" spans="1:6">
      <c r="A30" s="210">
        <v>1782000</v>
      </c>
      <c r="B30" s="213">
        <v>0.1713496534</v>
      </c>
    </row>
    <row r="31" spans="1:6">
      <c r="A31" s="210">
        <v>1848000</v>
      </c>
      <c r="B31" s="213">
        <v>0.1231534525</v>
      </c>
    </row>
    <row r="32" spans="1:6">
      <c r="A32" s="210">
        <v>1914000</v>
      </c>
      <c r="B32" s="213">
        <v>0.10662528979999999</v>
      </c>
    </row>
    <row r="33" spans="1:2">
      <c r="A33" s="210">
        <v>1980000</v>
      </c>
      <c r="B33" s="213">
        <v>9.7168002899999995E-2</v>
      </c>
    </row>
    <row r="34" spans="1:2">
      <c r="A34" s="210">
        <v>2046000</v>
      </c>
      <c r="B34" s="213">
        <v>7.4609520600000007E-2</v>
      </c>
    </row>
    <row r="35" spans="1:2">
      <c r="A35" s="210">
        <v>2112000</v>
      </c>
      <c r="B35" s="213">
        <v>6.5918300400000004E-2</v>
      </c>
    </row>
    <row r="36" spans="1:2">
      <c r="A36" s="210">
        <v>2178000</v>
      </c>
      <c r="B36" s="213">
        <v>5.3029863900000002E-2</v>
      </c>
    </row>
    <row r="37" spans="1:2">
      <c r="A37" s="210">
        <v>2244000</v>
      </c>
      <c r="B37" s="213">
        <v>4.4539637200000003E-2</v>
      </c>
    </row>
    <row r="38" spans="1:2">
      <c r="A38" s="210">
        <v>2310000</v>
      </c>
      <c r="B38" s="213">
        <v>3.9429784099999997E-2</v>
      </c>
    </row>
    <row r="39" spans="1:2">
      <c r="A39" s="210">
        <v>2376000</v>
      </c>
      <c r="B39" s="213">
        <v>3.6743175900000001E-2</v>
      </c>
    </row>
    <row r="40" spans="1:2">
      <c r="A40" s="210">
        <v>2442000</v>
      </c>
      <c r="B40" s="213">
        <v>2.5227442400000001E-2</v>
      </c>
    </row>
    <row r="41" spans="1:2">
      <c r="A41" s="210">
        <v>2508000</v>
      </c>
      <c r="B41" s="213">
        <v>2.5666108600000001E-2</v>
      </c>
    </row>
    <row r="42" spans="1:2">
      <c r="A42" s="210">
        <v>2574000</v>
      </c>
      <c r="B42" s="213">
        <v>1.9477378199999999E-2</v>
      </c>
    </row>
    <row r="43" spans="1:2">
      <c r="A43" s="210">
        <v>2640000</v>
      </c>
      <c r="B43" s="213">
        <v>1.7918956600000001E-2</v>
      </c>
    </row>
    <row r="44" spans="1:2">
      <c r="A44" s="210">
        <v>2706000</v>
      </c>
      <c r="B44" s="213">
        <v>1.6443853800000002E-2</v>
      </c>
    </row>
    <row r="45" spans="1:2">
      <c r="A45" s="210">
        <v>2772000</v>
      </c>
      <c r="B45" s="213">
        <v>1.47253001E-2</v>
      </c>
    </row>
    <row r="46" spans="1:2">
      <c r="A46" s="210">
        <v>2838000</v>
      </c>
      <c r="B46" s="213">
        <v>1.31506468E-2</v>
      </c>
    </row>
    <row r="47" spans="1:2">
      <c r="A47" s="210">
        <v>2904000</v>
      </c>
      <c r="B47" s="213">
        <v>1.20378646E-2</v>
      </c>
    </row>
    <row r="48" spans="1:2">
      <c r="A48" s="210">
        <v>2970000</v>
      </c>
      <c r="B48" s="213">
        <v>1.18628126E-2</v>
      </c>
    </row>
    <row r="49" spans="1:2">
      <c r="A49" s="210">
        <v>3036000</v>
      </c>
      <c r="B49" s="213">
        <v>8.9640803999999994E-3</v>
      </c>
    </row>
    <row r="50" spans="1:2">
      <c r="A50" s="210">
        <v>3102000</v>
      </c>
      <c r="B50" s="213">
        <v>8.3666233000000007E-3</v>
      </c>
    </row>
    <row r="51" spans="1:2">
      <c r="A51" s="210">
        <v>3168000</v>
      </c>
      <c r="B51" s="213">
        <v>7.480258E-3</v>
      </c>
    </row>
    <row r="52" spans="1:2">
      <c r="A52" s="210">
        <v>3234000</v>
      </c>
      <c r="B52" s="213">
        <v>6.6747964999999999E-3</v>
      </c>
    </row>
    <row r="53" spans="1:2">
      <c r="A53" s="210">
        <v>3300000</v>
      </c>
      <c r="B53" s="213">
        <v>6.8305542999999996E-3</v>
      </c>
    </row>
    <row r="54" spans="1:2">
      <c r="A54" s="210">
        <v>3366000</v>
      </c>
      <c r="B54" s="213">
        <v>5.3348077000000002E-3</v>
      </c>
    </row>
    <row r="55" spans="1:2">
      <c r="A55" s="210">
        <v>3432000</v>
      </c>
      <c r="B55" s="213">
        <v>5.7085260000000002E-3</v>
      </c>
    </row>
    <row r="56" spans="1:2">
      <c r="A56" s="210">
        <v>3498000</v>
      </c>
      <c r="B56" s="213">
        <v>5.7556461000000001E-3</v>
      </c>
    </row>
    <row r="57" spans="1:2">
      <c r="A57" s="210">
        <v>3564000</v>
      </c>
      <c r="B57" s="213">
        <v>3.9544128999999999E-3</v>
      </c>
    </row>
    <row r="58" spans="1:2">
      <c r="A58" s="210">
        <v>3630000</v>
      </c>
      <c r="B58" s="213">
        <v>5.1382512999999996E-3</v>
      </c>
    </row>
    <row r="59" spans="1:2">
      <c r="A59" s="210">
        <v>3696000</v>
      </c>
      <c r="B59" s="213">
        <v>4.4245481E-3</v>
      </c>
    </row>
    <row r="60" spans="1:2">
      <c r="A60" s="210">
        <v>3762000</v>
      </c>
      <c r="B60" s="213">
        <v>3.1766937000000002E-3</v>
      </c>
    </row>
    <row r="61" spans="1:2">
      <c r="A61" s="210">
        <v>3828000</v>
      </c>
      <c r="B61" s="213">
        <v>3.0447801E-3</v>
      </c>
    </row>
    <row r="62" spans="1:2">
      <c r="A62" s="210">
        <v>3894000</v>
      </c>
      <c r="B62" s="213">
        <v>3.5536459000000001E-3</v>
      </c>
    </row>
    <row r="63" spans="1:2">
      <c r="A63" s="210">
        <v>3960000</v>
      </c>
      <c r="B63" s="213">
        <v>2.8355264999999998E-3</v>
      </c>
    </row>
    <row r="64" spans="1:2">
      <c r="A64" s="210">
        <v>4026000</v>
      </c>
      <c r="B64" s="213">
        <v>2.7201956000000001E-3</v>
      </c>
    </row>
    <row r="65" spans="1:2">
      <c r="A65" s="210">
        <v>4092000</v>
      </c>
      <c r="B65" s="213">
        <v>2.7448962999999998E-3</v>
      </c>
    </row>
    <row r="66" spans="1:2">
      <c r="A66" s="210">
        <v>4158000</v>
      </c>
      <c r="B66" s="213">
        <v>2.3075545E-3</v>
      </c>
    </row>
    <row r="67" spans="1:2">
      <c r="A67" s="210">
        <v>4224000</v>
      </c>
      <c r="B67" s="213">
        <v>2.3725858999999998E-3</v>
      </c>
    </row>
    <row r="68" spans="1:2">
      <c r="A68" s="210">
        <v>4290000</v>
      </c>
      <c r="B68" s="213">
        <v>2.0877305000000001E-3</v>
      </c>
    </row>
    <row r="69" spans="1:2">
      <c r="A69" s="210">
        <v>4356000</v>
      </c>
      <c r="B69" s="213">
        <v>1.5645132000000001E-3</v>
      </c>
    </row>
    <row r="70" spans="1:2">
      <c r="A70" s="210">
        <v>4422000</v>
      </c>
      <c r="B70" s="213">
        <v>1.7145051999999999E-3</v>
      </c>
    </row>
    <row r="71" spans="1:2">
      <c r="A71" s="210">
        <v>4488000</v>
      </c>
      <c r="B71" s="213">
        <v>1.7737541E-3</v>
      </c>
    </row>
    <row r="72" spans="1:2">
      <c r="A72" s="210">
        <v>4554000</v>
      </c>
      <c r="B72" s="213">
        <v>1.3200721000000001E-3</v>
      </c>
    </row>
    <row r="73" spans="1:2">
      <c r="A73" s="210">
        <v>4620000</v>
      </c>
      <c r="B73" s="213">
        <v>1.2686862000000001E-3</v>
      </c>
    </row>
    <row r="74" spans="1:2">
      <c r="A74" s="210">
        <v>4686000</v>
      </c>
      <c r="B74" s="213">
        <v>1.5260584E-3</v>
      </c>
    </row>
    <row r="75" spans="1:2">
      <c r="A75" s="210">
        <v>4752000</v>
      </c>
      <c r="B75" s="213">
        <v>1.4847332999999999E-3</v>
      </c>
    </row>
    <row r="76" spans="1:2">
      <c r="A76" s="210">
        <v>4818000</v>
      </c>
      <c r="B76" s="213">
        <v>1.2114929000000001E-3</v>
      </c>
    </row>
    <row r="77" spans="1:2">
      <c r="A77" s="210">
        <v>4884000</v>
      </c>
      <c r="B77" s="213">
        <v>1.4669806999999999E-3</v>
      </c>
    </row>
    <row r="78" spans="1:2">
      <c r="A78" s="210">
        <v>4950000</v>
      </c>
      <c r="B78" s="213">
        <v>1.1440548999999999E-3</v>
      </c>
    </row>
    <row r="79" spans="1:2">
      <c r="A79" s="210">
        <v>5016000</v>
      </c>
      <c r="B79" s="213">
        <v>1.4405295E-3</v>
      </c>
    </row>
    <row r="80" spans="1:2">
      <c r="A80" s="210">
        <v>5082000</v>
      </c>
      <c r="B80" s="213">
        <v>1.0828172000000001E-3</v>
      </c>
    </row>
    <row r="81" spans="1:2">
      <c r="A81" s="210">
        <v>5148000</v>
      </c>
      <c r="B81" s="213">
        <v>1.0977914E-3</v>
      </c>
    </row>
    <row r="82" spans="1:2">
      <c r="A82" s="210">
        <v>5214000</v>
      </c>
      <c r="B82" s="213">
        <v>9.1442509999999999E-4</v>
      </c>
    </row>
    <row r="83" spans="1:2">
      <c r="A83" s="210">
        <v>5280000</v>
      </c>
      <c r="B83" s="213">
        <v>7.6349290000000004E-4</v>
      </c>
    </row>
    <row r="84" spans="1:2">
      <c r="A84" s="210">
        <v>5346000</v>
      </c>
      <c r="B84" s="213">
        <v>8.4821549999999999E-4</v>
      </c>
    </row>
    <row r="85" spans="1:2">
      <c r="A85" s="210">
        <v>5412000</v>
      </c>
      <c r="B85" s="213">
        <v>9.328168E-4</v>
      </c>
    </row>
    <row r="86" spans="1:2">
      <c r="A86" s="210">
        <v>5478000</v>
      </c>
      <c r="B86" s="213">
        <v>6.8255569999999997E-4</v>
      </c>
    </row>
    <row r="87" spans="1:2">
      <c r="A87" s="210">
        <v>5544000</v>
      </c>
      <c r="B87" s="213">
        <v>7.6144989999999996E-4</v>
      </c>
    </row>
    <row r="88" spans="1:2">
      <c r="A88" s="210">
        <v>5610000</v>
      </c>
      <c r="B88" s="213">
        <v>7.2666759999999995E-4</v>
      </c>
    </row>
    <row r="89" spans="1:2">
      <c r="A89" s="210">
        <v>5676000</v>
      </c>
      <c r="B89" s="213">
        <v>4.3091590000000001E-4</v>
      </c>
    </row>
    <row r="90" spans="1:2">
      <c r="A90" s="210">
        <v>5742000</v>
      </c>
      <c r="B90" s="213">
        <v>6.1183799999999997E-4</v>
      </c>
    </row>
    <row r="91" spans="1:2">
      <c r="A91" s="210">
        <v>5808000</v>
      </c>
      <c r="B91" s="213">
        <v>4.663332E-4</v>
      </c>
    </row>
    <row r="92" spans="1:2">
      <c r="A92" s="210">
        <v>5874000</v>
      </c>
      <c r="B92" s="213">
        <v>5.1585979999999997E-4</v>
      </c>
    </row>
    <row r="93" spans="1:2">
      <c r="A93" s="210">
        <v>5940000</v>
      </c>
      <c r="B93" s="213">
        <v>6.356822E-4</v>
      </c>
    </row>
    <row r="94" spans="1:2">
      <c r="A94" s="210">
        <v>6006000</v>
      </c>
      <c r="B94" s="213">
        <v>4.702021E-4</v>
      </c>
    </row>
    <row r="95" spans="1:2">
      <c r="A95" s="210">
        <v>6072000</v>
      </c>
      <c r="B95" s="213">
        <v>8.5647550000000005E-4</v>
      </c>
    </row>
    <row r="96" spans="1:2">
      <c r="A96" s="210">
        <v>6138000</v>
      </c>
      <c r="B96" s="213">
        <v>5.0964290000000002E-4</v>
      </c>
    </row>
    <row r="97" spans="1:2">
      <c r="A97" s="210">
        <v>6204000</v>
      </c>
      <c r="B97" s="213">
        <v>3.8252570000000001E-4</v>
      </c>
    </row>
    <row r="98" spans="1:2">
      <c r="A98" s="210">
        <v>6270000</v>
      </c>
      <c r="B98" s="213">
        <v>3.4224929999999998E-4</v>
      </c>
    </row>
    <row r="99" spans="1:2">
      <c r="A99" s="210">
        <v>6336000</v>
      </c>
      <c r="B99" s="213">
        <v>2.2008720000000001E-4</v>
      </c>
    </row>
    <row r="100" spans="1:2">
      <c r="A100" s="210">
        <v>6402000</v>
      </c>
      <c r="B100" s="213">
        <v>3.4196930000000001E-4</v>
      </c>
    </row>
    <row r="101" spans="1:2">
      <c r="A101" s="210">
        <v>6468000</v>
      </c>
      <c r="B101" s="213">
        <v>2.9914010000000002E-4</v>
      </c>
    </row>
    <row r="102" spans="1:2">
      <c r="A102" s="210">
        <v>6534000</v>
      </c>
      <c r="B102" s="213">
        <v>3.4853310000000003E-4</v>
      </c>
    </row>
    <row r="103" spans="1:2">
      <c r="A103" s="210">
        <v>6600000</v>
      </c>
      <c r="B103" s="213">
        <v>1.7391560000000001E-4</v>
      </c>
    </row>
    <row r="104" spans="1:2">
      <c r="A104" s="210">
        <v>6666000</v>
      </c>
      <c r="B104" s="213">
        <v>2.6525609999999999E-4</v>
      </c>
    </row>
    <row r="105" spans="1:2">
      <c r="A105" s="210">
        <v>6732000</v>
      </c>
      <c r="B105" s="213">
        <v>3.2511509999999999E-4</v>
      </c>
    </row>
    <row r="106" spans="1:2">
      <c r="A106" s="210">
        <v>6798000</v>
      </c>
      <c r="B106" s="213">
        <v>2.619012E-4</v>
      </c>
    </row>
    <row r="107" spans="1:2">
      <c r="A107" s="210">
        <v>6864000</v>
      </c>
      <c r="B107" s="213">
        <v>2.284935E-4</v>
      </c>
    </row>
    <row r="108" spans="1:2">
      <c r="A108" s="210">
        <v>6930000</v>
      </c>
      <c r="B108" s="213">
        <v>3.8131820000000002E-4</v>
      </c>
    </row>
    <row r="109" spans="1:2">
      <c r="A109" s="210">
        <v>6996000</v>
      </c>
      <c r="B109" s="213">
        <v>5.0498850000000001E-4</v>
      </c>
    </row>
    <row r="110" spans="1:2">
      <c r="A110" s="210">
        <v>7062000</v>
      </c>
      <c r="B110" s="213">
        <v>1.6921110000000001E-4</v>
      </c>
    </row>
    <row r="111" spans="1:2">
      <c r="A111" s="210">
        <v>7128000</v>
      </c>
      <c r="B111" s="213">
        <v>2.1798149999999999E-4</v>
      </c>
    </row>
    <row r="112" spans="1:2">
      <c r="A112" s="210">
        <v>7194000</v>
      </c>
      <c r="B112" s="213">
        <v>2.5186129999999997E-4</v>
      </c>
    </row>
    <row r="113" spans="1:2">
      <c r="A113" s="210">
        <v>7260000</v>
      </c>
      <c r="B113" s="213">
        <v>2.1408749999999999E-4</v>
      </c>
    </row>
    <row r="114" spans="1:2">
      <c r="A114" s="210">
        <v>7326000</v>
      </c>
      <c r="B114" s="213">
        <v>8.4676600000000002E-5</v>
      </c>
    </row>
    <row r="115" spans="1:2">
      <c r="A115" s="210">
        <v>7392000</v>
      </c>
      <c r="B115" s="213">
        <v>2.6678530000000001E-4</v>
      </c>
    </row>
    <row r="116" spans="1:2">
      <c r="A116" s="210">
        <v>7458000</v>
      </c>
      <c r="B116" s="213">
        <v>2.100808E-4</v>
      </c>
    </row>
    <row r="117" spans="1:2">
      <c r="A117" s="210">
        <v>7524000</v>
      </c>
      <c r="B117" s="213">
        <v>1.682376E-4</v>
      </c>
    </row>
    <row r="118" spans="1:2">
      <c r="A118" s="210">
        <v>7590000</v>
      </c>
      <c r="B118" s="213">
        <v>1.7032660000000001E-4</v>
      </c>
    </row>
    <row r="119" spans="1:2">
      <c r="A119" s="210">
        <v>7656000</v>
      </c>
      <c r="B119" s="213">
        <v>1.2648219999999999E-4</v>
      </c>
    </row>
    <row r="120" spans="1:2">
      <c r="A120" s="210">
        <v>7722000</v>
      </c>
      <c r="B120" s="213">
        <v>1.3951769999999999E-4</v>
      </c>
    </row>
    <row r="121" spans="1:2">
      <c r="A121" s="210">
        <v>7788000</v>
      </c>
      <c r="B121" s="213">
        <v>8.5462000000000003E-5</v>
      </c>
    </row>
    <row r="122" spans="1:2">
      <c r="A122" s="210">
        <v>7854000</v>
      </c>
      <c r="B122" s="213">
        <v>2.1336059999999999E-4</v>
      </c>
    </row>
    <row r="123" spans="1:2">
      <c r="A123" s="210">
        <v>7920000</v>
      </c>
      <c r="B123" s="213">
        <v>8.5792100000000001E-5</v>
      </c>
    </row>
    <row r="124" spans="1:2">
      <c r="A124" s="210">
        <v>7986000</v>
      </c>
      <c r="B124" s="213">
        <v>3.775998E-4</v>
      </c>
    </row>
    <row r="125" spans="1:2">
      <c r="A125" s="210">
        <v>8052000</v>
      </c>
      <c r="B125" s="213">
        <v>1.2645709999999999E-4</v>
      </c>
    </row>
    <row r="126" spans="1:2">
      <c r="A126" s="210">
        <v>8118000</v>
      </c>
      <c r="B126" s="213">
        <v>1.2745559999999999E-4</v>
      </c>
    </row>
    <row r="127" spans="1:2">
      <c r="A127" s="210">
        <v>8184000</v>
      </c>
      <c r="B127" s="213">
        <v>8.6084599999999999E-5</v>
      </c>
    </row>
    <row r="128" spans="1:2">
      <c r="A128" s="210">
        <v>8250000</v>
      </c>
      <c r="B128" s="213">
        <v>8.3560999999999995E-5</v>
      </c>
    </row>
    <row r="129" spans="1:2">
      <c r="A129" s="210">
        <v>8316000</v>
      </c>
      <c r="B129" s="213">
        <v>1.7005920000000001E-4</v>
      </c>
    </row>
    <row r="130" spans="1:2">
      <c r="A130" s="210">
        <v>8382000</v>
      </c>
      <c r="B130" s="213">
        <v>1.7257439999999999E-4</v>
      </c>
    </row>
    <row r="131" spans="1:2">
      <c r="A131" s="210">
        <v>8448000</v>
      </c>
      <c r="B131" s="213">
        <v>1.696623E-4</v>
      </c>
    </row>
    <row r="132" spans="1:2">
      <c r="A132" s="210">
        <v>8514000</v>
      </c>
      <c r="B132" s="213">
        <v>4.52859E-5</v>
      </c>
    </row>
    <row r="133" spans="1:2">
      <c r="A133" s="210">
        <v>8580000</v>
      </c>
      <c r="B133" s="213">
        <v>1.2651979999999999E-4</v>
      </c>
    </row>
    <row r="134" spans="1:2">
      <c r="A134" s="210">
        <v>8646000</v>
      </c>
      <c r="B134" s="213">
        <v>4.2879300000000001E-5</v>
      </c>
    </row>
    <row r="135" spans="1:2">
      <c r="A135" s="210">
        <v>8712000</v>
      </c>
      <c r="B135" s="213">
        <v>1.682376E-4</v>
      </c>
    </row>
    <row r="136" spans="1:2">
      <c r="A136" s="210">
        <v>8778000</v>
      </c>
      <c r="B136" s="213">
        <v>4.50143E-5</v>
      </c>
    </row>
    <row r="137" spans="1:2">
      <c r="A137" s="210">
        <v>8844000</v>
      </c>
      <c r="B137" s="213">
        <v>1.760338E-4</v>
      </c>
    </row>
    <row r="138" spans="1:2">
      <c r="A138" s="210">
        <v>8910000</v>
      </c>
      <c r="B138" s="213">
        <v>2.122952E-4</v>
      </c>
    </row>
    <row r="139" spans="1:2">
      <c r="A139" s="210">
        <v>8976000</v>
      </c>
      <c r="B139" s="213">
        <v>8.7739100000000002E-5</v>
      </c>
    </row>
    <row r="140" spans="1:2">
      <c r="A140" s="210">
        <v>9042000</v>
      </c>
      <c r="B140" s="213">
        <v>1.2757259999999999E-4</v>
      </c>
    </row>
    <row r="141" spans="1:2">
      <c r="A141" s="210">
        <v>9108000</v>
      </c>
      <c r="B141" s="213">
        <v>8.5792100000000001E-5</v>
      </c>
    </row>
    <row r="142" spans="1:2">
      <c r="A142" s="210">
        <v>9174000</v>
      </c>
      <c r="B142" s="213">
        <v>1.2645709999999999E-4</v>
      </c>
    </row>
    <row r="143" spans="1:2">
      <c r="A143" s="210">
        <v>9240000</v>
      </c>
      <c r="B143" s="213">
        <v>1.2711299999999999E-4</v>
      </c>
    </row>
    <row r="144" spans="1:2">
      <c r="A144" s="210">
        <v>9306000</v>
      </c>
      <c r="B144" s="213">
        <v>2.089026E-4</v>
      </c>
    </row>
    <row r="145" spans="1:2">
      <c r="A145" s="210">
        <v>9372000</v>
      </c>
      <c r="B145" s="213">
        <v>2.100181E-4</v>
      </c>
    </row>
    <row r="146" spans="1:2">
      <c r="A146" s="210">
        <v>9438000</v>
      </c>
      <c r="B146" s="213">
        <v>8.9134499999999998E-5</v>
      </c>
    </row>
    <row r="147" spans="1:2">
      <c r="A147" s="210">
        <v>9504000</v>
      </c>
      <c r="B147" s="213">
        <v>4.5390399999999998E-5</v>
      </c>
    </row>
    <row r="148" spans="1:2">
      <c r="A148" s="210">
        <v>9636000</v>
      </c>
      <c r="B148" s="213">
        <v>4.2824999999999997E-5</v>
      </c>
    </row>
    <row r="149" spans="1:2">
      <c r="A149" s="210">
        <v>9702000</v>
      </c>
      <c r="B149" s="213">
        <v>1.2771049999999999E-4</v>
      </c>
    </row>
    <row r="150" spans="1:2">
      <c r="A150" s="210">
        <v>9768000</v>
      </c>
      <c r="B150" s="213">
        <v>1.2743060000000001E-4</v>
      </c>
    </row>
    <row r="151" spans="1:2">
      <c r="A151" s="210">
        <v>9834000</v>
      </c>
      <c r="B151" s="213">
        <v>8.4814400000000006E-5</v>
      </c>
    </row>
    <row r="152" spans="1:2">
      <c r="A152" s="210">
        <v>9900000</v>
      </c>
      <c r="B152" s="213">
        <v>1.6712206E-6</v>
      </c>
    </row>
    <row r="153" spans="1:2">
      <c r="A153" s="210">
        <v>10032000</v>
      </c>
      <c r="B153" s="213">
        <v>8.3560999999999995E-5</v>
      </c>
    </row>
    <row r="154" spans="1:2">
      <c r="A154" s="210">
        <v>10098000</v>
      </c>
      <c r="B154" s="213">
        <v>8.5332499999999997E-5</v>
      </c>
    </row>
    <row r="155" spans="1:2">
      <c r="A155" s="210">
        <v>10164000</v>
      </c>
      <c r="B155" s="213">
        <v>1.2743060000000001E-4</v>
      </c>
    </row>
    <row r="156" spans="1:2">
      <c r="A156" s="210">
        <v>10230000</v>
      </c>
      <c r="B156" s="213">
        <v>8.3560999999999995E-5</v>
      </c>
    </row>
    <row r="157" spans="1:2">
      <c r="A157" s="210">
        <v>10296000</v>
      </c>
      <c r="B157" s="213">
        <v>8.3560999999999995E-5</v>
      </c>
    </row>
    <row r="158" spans="1:2">
      <c r="A158" s="210">
        <v>10362000</v>
      </c>
      <c r="B158" s="213">
        <v>2.5068309000000001E-6</v>
      </c>
    </row>
    <row r="159" spans="1:2">
      <c r="A159" s="210">
        <v>10428000</v>
      </c>
      <c r="B159" s="213">
        <v>4.1780499999999997E-5</v>
      </c>
    </row>
    <row r="160" spans="1:2">
      <c r="A160" s="210">
        <v>10494000</v>
      </c>
      <c r="B160" s="213">
        <v>4.2958699999999999E-5</v>
      </c>
    </row>
    <row r="161" spans="1:2">
      <c r="A161" s="210">
        <v>10626000</v>
      </c>
      <c r="B161" s="213">
        <v>4.2896099999999997E-5</v>
      </c>
    </row>
    <row r="162" spans="1:2">
      <c r="A162" s="210">
        <v>10692000</v>
      </c>
      <c r="B162" s="213">
        <v>4.1780499999999997E-5</v>
      </c>
    </row>
    <row r="163" spans="1:2">
      <c r="A163" s="210">
        <v>10758000</v>
      </c>
      <c r="B163" s="213">
        <v>8.3560999999999995E-5</v>
      </c>
    </row>
    <row r="164" spans="1:2">
      <c r="A164" s="210">
        <v>10824000</v>
      </c>
      <c r="B164" s="213">
        <v>4.1780499999999997E-5</v>
      </c>
    </row>
    <row r="165" spans="1:2">
      <c r="A165" s="210">
        <v>10890000</v>
      </c>
      <c r="B165" s="213">
        <v>4.4625800000000002E-5</v>
      </c>
    </row>
    <row r="166" spans="1:2">
      <c r="A166" s="210">
        <v>10956000</v>
      </c>
      <c r="B166" s="213">
        <v>2.2310794999999999E-6</v>
      </c>
    </row>
    <row r="167" spans="1:2">
      <c r="A167" s="210">
        <v>11088000</v>
      </c>
      <c r="B167" s="213">
        <v>4.1780499999999997E-5</v>
      </c>
    </row>
    <row r="168" spans="1:2">
      <c r="A168" s="210">
        <v>11154000</v>
      </c>
      <c r="B168" s="213">
        <v>4.62719E-5</v>
      </c>
    </row>
    <row r="169" spans="1:2">
      <c r="A169" s="210">
        <v>11220000</v>
      </c>
      <c r="B169" s="213">
        <v>1.3149160000000001E-4</v>
      </c>
    </row>
    <row r="170" spans="1:2">
      <c r="A170" s="210">
        <v>11286000</v>
      </c>
      <c r="B170" s="213">
        <v>1.671221E-4</v>
      </c>
    </row>
    <row r="171" spans="1:2">
      <c r="A171" s="210">
        <v>11352000</v>
      </c>
      <c r="B171" s="213">
        <v>4.2908599999999998E-5</v>
      </c>
    </row>
    <row r="172" spans="1:2">
      <c r="A172" s="210">
        <v>11418000</v>
      </c>
      <c r="B172" s="213">
        <v>1.2743060000000001E-4</v>
      </c>
    </row>
    <row r="173" spans="1:2">
      <c r="A173" s="210">
        <v>11484000</v>
      </c>
      <c r="B173" s="213">
        <v>8.4676600000000002E-5</v>
      </c>
    </row>
    <row r="174" spans="1:2">
      <c r="A174" s="210">
        <v>11550000</v>
      </c>
      <c r="B174" s="213">
        <v>4.382776E-6</v>
      </c>
    </row>
    <row r="175" spans="1:2">
      <c r="A175" s="210">
        <v>11616000</v>
      </c>
      <c r="B175" s="213">
        <v>1.7126669999999999E-4</v>
      </c>
    </row>
    <row r="176" spans="1:2">
      <c r="A176" s="210">
        <v>11682000</v>
      </c>
      <c r="B176" s="213">
        <v>4.51564E-5</v>
      </c>
    </row>
    <row r="177" spans="1:2">
      <c r="A177" s="210">
        <v>11748000</v>
      </c>
      <c r="B177" s="213">
        <v>8.73923E-5</v>
      </c>
    </row>
    <row r="178" spans="1:2">
      <c r="A178" s="210">
        <v>11814000</v>
      </c>
      <c r="B178" s="213">
        <v>4.2896099999999997E-5</v>
      </c>
    </row>
    <row r="179" spans="1:2">
      <c r="A179" s="210">
        <v>11946000</v>
      </c>
      <c r="B179" s="213">
        <v>1.2534150000000001E-4</v>
      </c>
    </row>
    <row r="180" spans="1:2">
      <c r="A180" s="210">
        <v>12012000</v>
      </c>
      <c r="B180" s="213">
        <v>8.3560999999999995E-5</v>
      </c>
    </row>
    <row r="181" spans="1:2">
      <c r="A181" s="210">
        <v>12078000</v>
      </c>
      <c r="B181" s="213">
        <v>8.6368700000000005E-5</v>
      </c>
    </row>
    <row r="182" spans="1:2">
      <c r="A182" s="210">
        <v>12144000</v>
      </c>
      <c r="B182" s="213">
        <v>4.1780499999999997E-5</v>
      </c>
    </row>
    <row r="183" spans="1:2">
      <c r="A183" s="210">
        <v>12210000</v>
      </c>
      <c r="B183" s="213">
        <v>4.1780499999999997E-5</v>
      </c>
    </row>
    <row r="184" spans="1:2">
      <c r="A184" s="210">
        <v>12276000</v>
      </c>
      <c r="B184" s="213">
        <v>2.4065575999999999E-6</v>
      </c>
    </row>
    <row r="185" spans="1:2">
      <c r="A185" s="210">
        <v>12342000</v>
      </c>
      <c r="B185" s="213">
        <v>4.1780499999999997E-5</v>
      </c>
    </row>
    <row r="186" spans="1:2">
      <c r="A186" s="210">
        <v>12408000</v>
      </c>
      <c r="B186" s="213">
        <v>8.3560999999999995E-5</v>
      </c>
    </row>
    <row r="187" spans="1:2">
      <c r="A187" s="210">
        <v>12474000</v>
      </c>
      <c r="B187" s="213">
        <v>4.29253E-5</v>
      </c>
    </row>
    <row r="188" spans="1:2">
      <c r="A188" s="210">
        <v>12540000</v>
      </c>
      <c r="B188" s="213">
        <v>4.1780499999999997E-5</v>
      </c>
    </row>
    <row r="189" spans="1:2">
      <c r="A189" s="210">
        <v>12606000</v>
      </c>
      <c r="B189" s="213">
        <v>8.4676600000000002E-5</v>
      </c>
    </row>
    <row r="190" spans="1:2">
      <c r="A190" s="210">
        <v>12738000</v>
      </c>
      <c r="B190" s="213">
        <v>4.1780499999999997E-5</v>
      </c>
    </row>
    <row r="191" spans="1:2">
      <c r="A191" s="210">
        <v>12804000</v>
      </c>
      <c r="B191" s="213">
        <v>1.1155397E-6</v>
      </c>
    </row>
    <row r="192" spans="1:2">
      <c r="A192" s="210">
        <v>12870000</v>
      </c>
      <c r="B192" s="213">
        <v>4.2958699999999999E-5</v>
      </c>
    </row>
    <row r="193" spans="1:2">
      <c r="A193" s="210">
        <v>12936000</v>
      </c>
      <c r="B193" s="213">
        <v>4.2879300000000001E-5</v>
      </c>
    </row>
    <row r="194" spans="1:2">
      <c r="A194" s="210">
        <v>13068000</v>
      </c>
      <c r="B194" s="213">
        <v>4.1780499999999997E-5</v>
      </c>
    </row>
    <row r="195" spans="1:2">
      <c r="A195" s="210">
        <v>13134000</v>
      </c>
      <c r="B195" s="213">
        <v>1.1155397E-6</v>
      </c>
    </row>
    <row r="196" spans="1:2">
      <c r="A196" s="210">
        <v>13200000</v>
      </c>
      <c r="B196" s="213">
        <v>1.1155397E-6</v>
      </c>
    </row>
    <row r="197" spans="1:2">
      <c r="A197" s="210">
        <v>13266000</v>
      </c>
      <c r="B197" s="213">
        <v>4.1780499999999997E-5</v>
      </c>
    </row>
    <row r="198" spans="1:2">
      <c r="A198" s="210">
        <v>13332000</v>
      </c>
      <c r="B198" s="213">
        <v>2.9162798999999999E-6</v>
      </c>
    </row>
    <row r="199" spans="1:2">
      <c r="A199" s="210">
        <v>13398000</v>
      </c>
      <c r="B199" s="213">
        <v>4.1780499999999997E-5</v>
      </c>
    </row>
    <row r="200" spans="1:2">
      <c r="A200" s="210">
        <v>13464000</v>
      </c>
      <c r="B200" s="213">
        <v>4.3994900000000001E-5</v>
      </c>
    </row>
    <row r="201" spans="1:2">
      <c r="A201" s="210">
        <v>13530000</v>
      </c>
      <c r="B201" s="213">
        <v>4.2896099999999997E-5</v>
      </c>
    </row>
    <row r="202" spans="1:2">
      <c r="A202" s="210">
        <v>13662000</v>
      </c>
      <c r="B202" s="213">
        <v>8.6765600000000002E-5</v>
      </c>
    </row>
    <row r="203" spans="1:2">
      <c r="A203" s="210">
        <v>13728000</v>
      </c>
      <c r="B203" s="213">
        <v>1.2534150000000001E-4</v>
      </c>
    </row>
    <row r="204" spans="1:2">
      <c r="A204" s="210">
        <v>13794000</v>
      </c>
      <c r="B204" s="213">
        <v>8.52322E-5</v>
      </c>
    </row>
    <row r="205" spans="1:2">
      <c r="A205" s="210">
        <v>13860000</v>
      </c>
      <c r="B205" s="213">
        <v>4.1780499999999997E-5</v>
      </c>
    </row>
    <row r="206" spans="1:2">
      <c r="A206" s="210">
        <v>13926000</v>
      </c>
      <c r="B206" s="213">
        <v>1.1280739E-6</v>
      </c>
    </row>
    <row r="207" spans="1:2">
      <c r="A207" s="210">
        <v>13992000</v>
      </c>
      <c r="B207" s="213">
        <v>2.2310794999999999E-6</v>
      </c>
    </row>
    <row r="208" spans="1:2">
      <c r="A208" s="210">
        <v>14058000</v>
      </c>
      <c r="B208" s="213">
        <v>4.1780499999999997E-5</v>
      </c>
    </row>
    <row r="209" spans="1:2">
      <c r="A209" s="210">
        <v>14124000</v>
      </c>
      <c r="B209" s="213">
        <v>4.1780499999999997E-5</v>
      </c>
    </row>
    <row r="210" spans="1:2">
      <c r="A210" s="210">
        <v>14190000</v>
      </c>
      <c r="B210" s="213">
        <v>4.4024099999999997E-5</v>
      </c>
    </row>
    <row r="211" spans="1:2">
      <c r="A211" s="210">
        <v>14388000</v>
      </c>
      <c r="B211" s="213">
        <v>4.4078400000000001E-5</v>
      </c>
    </row>
    <row r="212" spans="1:2">
      <c r="A212" s="210">
        <v>14520000</v>
      </c>
      <c r="B212" s="213">
        <v>4.1780499999999997E-5</v>
      </c>
    </row>
    <row r="213" spans="1:2">
      <c r="A213" s="210">
        <v>14652000</v>
      </c>
      <c r="B213" s="213">
        <v>4.6627054000000004E-6</v>
      </c>
    </row>
    <row r="214" spans="1:2">
      <c r="A214" s="210">
        <v>14718000</v>
      </c>
      <c r="B214" s="213">
        <v>1.1782105E-6</v>
      </c>
    </row>
    <row r="215" spans="1:2">
      <c r="A215" s="210">
        <v>14850000</v>
      </c>
      <c r="B215" s="213">
        <v>4.1780499999999997E-5</v>
      </c>
    </row>
    <row r="216" spans="1:2">
      <c r="A216" s="210">
        <v>14916000</v>
      </c>
      <c r="B216" s="213">
        <v>1.1155397E-6</v>
      </c>
    </row>
    <row r="217" spans="1:2">
      <c r="A217" s="210">
        <v>15048000</v>
      </c>
      <c r="B217" s="213">
        <v>1.1155397E-6</v>
      </c>
    </row>
    <row r="218" spans="1:2">
      <c r="A218" s="210">
        <v>15114000</v>
      </c>
      <c r="B218" s="213">
        <v>1.2534150000000001E-4</v>
      </c>
    </row>
    <row r="219" spans="1:2">
      <c r="A219" s="210">
        <v>15180000</v>
      </c>
      <c r="B219" s="213">
        <v>6.4759797999999999E-6</v>
      </c>
    </row>
    <row r="220" spans="1:2">
      <c r="A220" s="210">
        <v>15378000</v>
      </c>
      <c r="B220" s="213">
        <v>1.1155397E-6</v>
      </c>
    </row>
    <row r="221" spans="1:2">
      <c r="A221" s="210">
        <v>15840000</v>
      </c>
      <c r="B221" s="213">
        <v>2.4149137000000001E-6</v>
      </c>
    </row>
    <row r="222" spans="1:2">
      <c r="A222" s="210">
        <v>15972000</v>
      </c>
      <c r="B222" s="213">
        <v>4.1780499999999997E-5</v>
      </c>
    </row>
    <row r="223" spans="1:2">
      <c r="A223" s="210">
        <v>16104000</v>
      </c>
      <c r="B223" s="213">
        <v>1.1155397E-6</v>
      </c>
    </row>
    <row r="224" spans="1:2">
      <c r="A224" s="210">
        <v>16170000</v>
      </c>
      <c r="B224" s="213">
        <v>2.3605991E-6</v>
      </c>
    </row>
    <row r="225" spans="1:2">
      <c r="A225" s="210">
        <v>16236000</v>
      </c>
      <c r="B225" s="213">
        <v>4.2896099999999997E-5</v>
      </c>
    </row>
    <row r="226" spans="1:2">
      <c r="A226" s="210">
        <v>16302000</v>
      </c>
      <c r="B226" s="213">
        <v>2.3940235E-6</v>
      </c>
    </row>
    <row r="227" spans="1:2">
      <c r="A227" s="210">
        <v>16434000</v>
      </c>
      <c r="B227" s="213">
        <v>1.2784837000000001E-6</v>
      </c>
    </row>
    <row r="228" spans="1:2">
      <c r="A228" s="210">
        <v>16632000</v>
      </c>
      <c r="B228" s="213">
        <v>2.2310794999999999E-6</v>
      </c>
    </row>
    <row r="229" spans="1:2">
      <c r="A229" s="210">
        <v>16698000</v>
      </c>
      <c r="B229" s="213">
        <v>1.1155397E-6</v>
      </c>
    </row>
    <row r="230" spans="1:2">
      <c r="A230" s="210">
        <v>16764000</v>
      </c>
      <c r="B230" s="213">
        <v>3.5471657000000002E-6</v>
      </c>
    </row>
    <row r="231" spans="1:2">
      <c r="A231" s="210">
        <v>16830000</v>
      </c>
      <c r="B231" s="213">
        <v>4.1780499999999997E-5</v>
      </c>
    </row>
    <row r="232" spans="1:2">
      <c r="A232" s="210">
        <v>16962000</v>
      </c>
      <c r="B232" s="213">
        <v>3.8981220000000002E-6</v>
      </c>
    </row>
    <row r="233" spans="1:2">
      <c r="A233" s="210">
        <v>17094000</v>
      </c>
      <c r="B233" s="213">
        <v>1.1155397E-6</v>
      </c>
    </row>
    <row r="234" spans="1:2">
      <c r="A234" s="210">
        <v>17160000</v>
      </c>
      <c r="B234" s="213">
        <v>2.2227234000000001E-6</v>
      </c>
    </row>
    <row r="235" spans="1:2">
      <c r="A235" s="210">
        <v>17292000</v>
      </c>
      <c r="B235" s="213">
        <v>4.4985099999999997E-5</v>
      </c>
    </row>
    <row r="236" spans="1:2">
      <c r="A236" s="210">
        <v>17358000</v>
      </c>
      <c r="B236" s="213">
        <v>2.9497042999999998E-6</v>
      </c>
    </row>
    <row r="237" spans="1:2">
      <c r="A237" s="210">
        <v>17556000</v>
      </c>
      <c r="B237" s="213">
        <v>2.2937503000000001E-6</v>
      </c>
    </row>
    <row r="238" spans="1:2">
      <c r="A238" s="210">
        <v>17952000</v>
      </c>
      <c r="B238" s="213">
        <v>1.1782105E-6</v>
      </c>
    </row>
    <row r="239" spans="1:2">
      <c r="A239" s="210">
        <v>18084000</v>
      </c>
      <c r="B239" s="213">
        <v>1.1155397E-6</v>
      </c>
    </row>
    <row r="240" spans="1:2">
      <c r="A240" s="210">
        <v>18150000</v>
      </c>
      <c r="B240" s="213">
        <v>1.1447861E-6</v>
      </c>
    </row>
    <row r="241" spans="1:2">
      <c r="A241" s="210">
        <v>18282000</v>
      </c>
      <c r="B241" s="213">
        <v>1.1155397E-6</v>
      </c>
    </row>
    <row r="242" spans="1:2">
      <c r="A242" s="210">
        <v>18348000</v>
      </c>
      <c r="B242" s="213">
        <v>4.2896099999999997E-5</v>
      </c>
    </row>
    <row r="243" spans="1:2">
      <c r="A243" s="210">
        <v>18414000</v>
      </c>
      <c r="B243" s="213">
        <v>4.4011599999999997E-5</v>
      </c>
    </row>
    <row r="244" spans="1:2">
      <c r="A244" s="210">
        <v>18612000</v>
      </c>
      <c r="B244" s="213">
        <v>1.1155397E-6</v>
      </c>
    </row>
    <row r="245" spans="1:2">
      <c r="A245" s="210">
        <v>18744000</v>
      </c>
      <c r="B245" s="213">
        <v>4.1780499999999997E-5</v>
      </c>
    </row>
    <row r="246" spans="1:2">
      <c r="A246" s="210">
        <v>18942000</v>
      </c>
      <c r="B246" s="213">
        <v>1.1155397E-6</v>
      </c>
    </row>
    <row r="247" spans="1:2">
      <c r="A247" s="210">
        <v>19008000</v>
      </c>
      <c r="B247" s="213">
        <v>3.0792239E-6</v>
      </c>
    </row>
    <row r="248" spans="1:2">
      <c r="A248" s="210">
        <v>19074000</v>
      </c>
      <c r="B248" s="213">
        <v>2.2310794999999999E-6</v>
      </c>
    </row>
    <row r="249" spans="1:2">
      <c r="A249" s="210">
        <v>19140000</v>
      </c>
      <c r="B249" s="213">
        <v>1.1155397E-6</v>
      </c>
    </row>
    <row r="250" spans="1:2">
      <c r="A250" s="210">
        <v>19338000</v>
      </c>
      <c r="B250" s="213">
        <v>2.2937503000000001E-6</v>
      </c>
    </row>
    <row r="251" spans="1:2">
      <c r="A251" s="210">
        <v>19536000</v>
      </c>
      <c r="B251" s="213">
        <v>1.13643E-6</v>
      </c>
    </row>
    <row r="252" spans="1:2">
      <c r="A252" s="210">
        <v>19734000</v>
      </c>
      <c r="B252" s="213">
        <v>1.1782105E-6</v>
      </c>
    </row>
    <row r="253" spans="1:2">
      <c r="A253" s="210">
        <v>20526000</v>
      </c>
      <c r="B253" s="213">
        <v>1.1155397E-6</v>
      </c>
    </row>
    <row r="254" spans="1:2">
      <c r="A254" s="210">
        <v>20592000</v>
      </c>
      <c r="B254" s="213">
        <v>1.0445128999999999E-6</v>
      </c>
    </row>
    <row r="255" spans="1:2">
      <c r="A255" s="210">
        <v>20856000</v>
      </c>
      <c r="B255" s="213">
        <v>1.1155397E-6</v>
      </c>
    </row>
    <row r="256" spans="1:2">
      <c r="A256" s="210">
        <v>20922000</v>
      </c>
      <c r="B256" s="213">
        <v>4.2916900000000002E-5</v>
      </c>
    </row>
    <row r="257" spans="1:2">
      <c r="A257" s="210">
        <v>21120000</v>
      </c>
      <c r="B257" s="213">
        <v>1.1155397E-6</v>
      </c>
    </row>
    <row r="258" spans="1:2">
      <c r="A258" s="210">
        <v>21252000</v>
      </c>
      <c r="B258" s="213">
        <v>1.1155397E-6</v>
      </c>
    </row>
    <row r="259" spans="1:2">
      <c r="A259" s="210">
        <v>21582000</v>
      </c>
      <c r="B259" s="213">
        <v>1.1155397E-6</v>
      </c>
    </row>
    <row r="260" spans="1:2">
      <c r="A260" s="210">
        <v>21846000</v>
      </c>
      <c r="B260" s="213">
        <v>1.1155397E-6</v>
      </c>
    </row>
    <row r="261" spans="1:2">
      <c r="A261" s="210">
        <v>21978000</v>
      </c>
      <c r="B261" s="213">
        <v>1.13643E-6</v>
      </c>
    </row>
    <row r="262" spans="1:2">
      <c r="A262" s="210">
        <v>22110000</v>
      </c>
      <c r="B262" s="213">
        <v>1.1155397E-6</v>
      </c>
    </row>
    <row r="263" spans="1:2">
      <c r="A263" s="210">
        <v>22242000</v>
      </c>
      <c r="B263" s="213">
        <v>4.1780499999999997E-5</v>
      </c>
    </row>
    <row r="264" spans="1:2">
      <c r="A264" s="210">
        <v>22440000</v>
      </c>
      <c r="B264" s="213">
        <v>1.1155397E-6</v>
      </c>
    </row>
    <row r="265" spans="1:2">
      <c r="A265" s="210">
        <v>22638000</v>
      </c>
      <c r="B265" s="213">
        <v>1.1155397E-6</v>
      </c>
    </row>
    <row r="266" spans="1:2">
      <c r="A266" s="210">
        <v>22968000</v>
      </c>
      <c r="B266" s="213">
        <v>1.1155397E-6</v>
      </c>
    </row>
    <row r="267" spans="1:2">
      <c r="A267" s="210">
        <v>23430000</v>
      </c>
      <c r="B267" s="213">
        <v>1.1155397E-6</v>
      </c>
    </row>
    <row r="268" spans="1:2">
      <c r="A268" s="210">
        <v>23760000</v>
      </c>
      <c r="B268" s="213">
        <v>1.1155397E-6</v>
      </c>
    </row>
    <row r="269" spans="1:2">
      <c r="A269" s="210">
        <v>23826000</v>
      </c>
      <c r="B269" s="213">
        <v>1.1155397E-6</v>
      </c>
    </row>
    <row r="270" spans="1:2">
      <c r="A270" s="210">
        <v>23892000</v>
      </c>
      <c r="B270" s="213">
        <v>1.13643E-6</v>
      </c>
    </row>
    <row r="271" spans="1:2">
      <c r="A271" s="210">
        <v>24090000</v>
      </c>
      <c r="B271" s="213">
        <v>4.1780499999999997E-5</v>
      </c>
    </row>
    <row r="272" spans="1:2">
      <c r="A272" s="210">
        <v>25080000</v>
      </c>
      <c r="B272" s="213">
        <v>2.1600525999999999E-6</v>
      </c>
    </row>
    <row r="273" spans="1:2">
      <c r="A273" s="210">
        <v>25146000</v>
      </c>
      <c r="B273" s="213">
        <v>3.3883996999999998E-6</v>
      </c>
    </row>
    <row r="274" spans="1:2">
      <c r="A274" s="210">
        <v>25212000</v>
      </c>
      <c r="B274" s="213">
        <v>4.1780499999999997E-5</v>
      </c>
    </row>
    <row r="275" spans="1:2">
      <c r="A275" s="210">
        <v>25344000</v>
      </c>
      <c r="B275" s="213">
        <v>1.1155397E-6</v>
      </c>
    </row>
    <row r="276" spans="1:2">
      <c r="A276" s="210">
        <v>25674000</v>
      </c>
      <c r="B276" s="213">
        <v>1.1155397E-6</v>
      </c>
    </row>
    <row r="277" spans="1:2">
      <c r="A277" s="210">
        <v>25740000</v>
      </c>
      <c r="B277" s="213">
        <v>1.13643E-6</v>
      </c>
    </row>
    <row r="278" spans="1:2">
      <c r="A278" s="210">
        <v>25872000</v>
      </c>
      <c r="B278" s="213">
        <v>1.13643E-6</v>
      </c>
    </row>
    <row r="279" spans="1:2">
      <c r="A279" s="210">
        <v>26070000</v>
      </c>
      <c r="B279" s="213">
        <v>1.1155397E-6</v>
      </c>
    </row>
    <row r="280" spans="1:2">
      <c r="A280" s="210">
        <v>26136000</v>
      </c>
      <c r="B280" s="213">
        <v>4.1780499999999997E-5</v>
      </c>
    </row>
    <row r="281" spans="1:2">
      <c r="A281" s="210">
        <v>26202000</v>
      </c>
      <c r="B281" s="213">
        <v>1.1280739E-6</v>
      </c>
    </row>
    <row r="282" spans="1:2">
      <c r="A282" s="210">
        <v>26334000</v>
      </c>
      <c r="B282" s="213">
        <v>2.2519697E-6</v>
      </c>
    </row>
    <row r="283" spans="1:2">
      <c r="A283" s="210">
        <v>26796000</v>
      </c>
      <c r="B283" s="213">
        <v>2.0890256999999999E-6</v>
      </c>
    </row>
    <row r="284" spans="1:2">
      <c r="A284" s="210">
        <v>27192000</v>
      </c>
      <c r="B284" s="213">
        <v>4.2896099999999997E-5</v>
      </c>
    </row>
    <row r="285" spans="1:2">
      <c r="A285" s="210">
        <v>27324000</v>
      </c>
      <c r="B285" s="213">
        <v>1.1155397E-6</v>
      </c>
    </row>
    <row r="286" spans="1:2">
      <c r="A286" s="210">
        <v>27522000</v>
      </c>
      <c r="B286" s="213">
        <v>4.1780499999999997E-5</v>
      </c>
    </row>
    <row r="287" spans="1:2">
      <c r="A287" s="210">
        <v>27588000</v>
      </c>
      <c r="B287" s="213">
        <v>1.1155397E-6</v>
      </c>
    </row>
    <row r="288" spans="1:2">
      <c r="A288" s="210">
        <v>27720000</v>
      </c>
      <c r="B288" s="213">
        <v>1.1155397E-6</v>
      </c>
    </row>
    <row r="289" spans="1:2">
      <c r="A289" s="210">
        <v>27786000</v>
      </c>
      <c r="B289" s="213">
        <v>1.1155397E-6</v>
      </c>
    </row>
    <row r="290" spans="1:2">
      <c r="A290" s="210">
        <v>27852000</v>
      </c>
      <c r="B290" s="213">
        <v>1.1155397E-6</v>
      </c>
    </row>
    <row r="291" spans="1:2">
      <c r="A291" s="210">
        <v>27984000</v>
      </c>
      <c r="B291" s="213">
        <v>1.1155397E-6</v>
      </c>
    </row>
    <row r="292" spans="1:2">
      <c r="A292" s="210">
        <v>28248000</v>
      </c>
      <c r="B292" s="213">
        <v>1.1155397E-6</v>
      </c>
    </row>
    <row r="293" spans="1:2">
      <c r="A293" s="210">
        <v>28380000</v>
      </c>
      <c r="B293" s="213">
        <v>4.1780499999999997E-5</v>
      </c>
    </row>
    <row r="294" spans="1:2">
      <c r="A294" s="210">
        <v>29106000</v>
      </c>
      <c r="B294" s="213">
        <v>1.13643E-6</v>
      </c>
    </row>
    <row r="295" spans="1:2">
      <c r="A295" s="210">
        <v>29568000</v>
      </c>
      <c r="B295" s="213">
        <v>1.1155397E-6</v>
      </c>
    </row>
    <row r="296" spans="1:2">
      <c r="A296" s="210">
        <v>29634000</v>
      </c>
      <c r="B296" s="213">
        <v>1.13643E-6</v>
      </c>
    </row>
    <row r="297" spans="1:2">
      <c r="A297" s="210">
        <v>30096000</v>
      </c>
      <c r="B297" s="213">
        <v>1.1280739E-6</v>
      </c>
    </row>
    <row r="298" spans="1:2">
      <c r="A298" s="210">
        <v>30228000</v>
      </c>
      <c r="B298" s="213">
        <v>1.1155397E-6</v>
      </c>
    </row>
    <row r="299" spans="1:2">
      <c r="A299" s="210">
        <v>30954000</v>
      </c>
      <c r="B299" s="213">
        <v>4.1780499999999997E-5</v>
      </c>
    </row>
    <row r="300" spans="1:2">
      <c r="A300" s="210">
        <v>31482000</v>
      </c>
      <c r="B300" s="213">
        <v>1.13643E-6</v>
      </c>
    </row>
    <row r="301" spans="1:2">
      <c r="A301" s="210">
        <v>31680000</v>
      </c>
      <c r="B301" s="213">
        <v>4.2896099999999997E-5</v>
      </c>
    </row>
    <row r="302" spans="1:2">
      <c r="A302" s="210">
        <v>32142000</v>
      </c>
      <c r="B302" s="213">
        <v>1.1280739E-6</v>
      </c>
    </row>
    <row r="303" spans="1:2">
      <c r="A303" s="210">
        <v>32208000</v>
      </c>
      <c r="B303" s="213">
        <v>1.13643E-6</v>
      </c>
    </row>
    <row r="304" spans="1:2">
      <c r="A304" s="210">
        <v>32472000</v>
      </c>
      <c r="B304" s="213">
        <v>4.1780499999999997E-5</v>
      </c>
    </row>
    <row r="305" spans="1:2">
      <c r="A305" s="210">
        <v>32538000</v>
      </c>
      <c r="B305" s="213">
        <v>2.6697748999999998E-6</v>
      </c>
    </row>
    <row r="306" spans="1:2">
      <c r="A306" s="210">
        <v>32802000</v>
      </c>
      <c r="B306" s="213">
        <v>1.13643E-6</v>
      </c>
    </row>
    <row r="307" spans="1:2">
      <c r="A307" s="210">
        <v>33330000</v>
      </c>
      <c r="B307" s="213">
        <v>1.2534154000000001E-6</v>
      </c>
    </row>
    <row r="308" spans="1:2">
      <c r="A308" s="210">
        <v>35046000</v>
      </c>
      <c r="B308" s="213">
        <v>1.1155397E-6</v>
      </c>
    </row>
    <row r="309" spans="1:2">
      <c r="A309" s="210">
        <v>35310000</v>
      </c>
      <c r="B309" s="213">
        <v>1.1155397E-6</v>
      </c>
    </row>
    <row r="310" spans="1:2">
      <c r="A310" s="210">
        <v>35904000</v>
      </c>
      <c r="B310" s="213">
        <v>4.1780499999999997E-5</v>
      </c>
    </row>
    <row r="311" spans="1:2">
      <c r="A311" s="210">
        <v>36564000</v>
      </c>
      <c r="B311" s="213">
        <v>1.13643E-6</v>
      </c>
    </row>
    <row r="312" spans="1:2">
      <c r="A312" s="210">
        <v>37092000</v>
      </c>
      <c r="B312" s="213">
        <v>1.13643E-6</v>
      </c>
    </row>
    <row r="313" spans="1:2">
      <c r="A313" s="210">
        <v>37422000</v>
      </c>
      <c r="B313" s="213">
        <v>4.1780499999999997E-5</v>
      </c>
    </row>
    <row r="314" spans="1:2">
      <c r="A314" s="210">
        <v>37620000</v>
      </c>
      <c r="B314" s="213">
        <v>1.13643E-6</v>
      </c>
    </row>
    <row r="315" spans="1:2">
      <c r="A315" s="210">
        <v>38874000</v>
      </c>
      <c r="B315" s="213">
        <v>1.13643E-6</v>
      </c>
    </row>
    <row r="316" spans="1:2">
      <c r="A316" s="210">
        <v>39006000</v>
      </c>
      <c r="B316" s="213">
        <v>1.13643E-6</v>
      </c>
    </row>
    <row r="317" spans="1:2">
      <c r="A317" s="210">
        <v>40854000</v>
      </c>
      <c r="B317" s="213">
        <v>1.13643E-6</v>
      </c>
    </row>
    <row r="318" spans="1:2">
      <c r="A318" s="210">
        <v>42042000</v>
      </c>
      <c r="B318" s="213">
        <v>1.13643E-6</v>
      </c>
    </row>
    <row r="319" spans="1:2">
      <c r="A319" s="210">
        <v>45078000</v>
      </c>
      <c r="B319" s="213">
        <v>1.13643E-6</v>
      </c>
    </row>
    <row r="320" spans="1:2">
      <c r="A320" s="210">
        <v>46662000</v>
      </c>
      <c r="B320" s="213">
        <v>4.1780499999999997E-5</v>
      </c>
    </row>
    <row r="321" spans="1:2">
      <c r="A321" s="210">
        <v>51414000</v>
      </c>
      <c r="B321" s="213">
        <v>1.1155397E-6</v>
      </c>
    </row>
    <row r="322" spans="1:2">
      <c r="A322" s="210">
        <v>53394000</v>
      </c>
      <c r="B322" s="213">
        <v>1.13643E-6</v>
      </c>
    </row>
    <row r="323" spans="1:2">
      <c r="A323" s="210">
        <v>58938000</v>
      </c>
      <c r="B323" s="213">
        <v>1.13643E-6</v>
      </c>
    </row>
    <row r="324" spans="1:2">
      <c r="A324" s="210">
        <v>59928000</v>
      </c>
      <c r="B324" s="213">
        <v>1.13643E-6</v>
      </c>
    </row>
    <row r="325" spans="1:2">
      <c r="A325" s="210">
        <v>65010000</v>
      </c>
      <c r="B325" s="213">
        <v>1.1155397E-6</v>
      </c>
    </row>
    <row r="326" spans="1:2">
      <c r="A326" s="210">
        <v>65802000</v>
      </c>
      <c r="B326" s="213">
        <v>1.13643E-6</v>
      </c>
    </row>
    <row r="327" spans="1:2">
      <c r="A327" s="210">
        <v>68112000</v>
      </c>
      <c r="B327" s="213">
        <v>1.0445128999999999E-6</v>
      </c>
    </row>
    <row r="328" spans="1:2">
      <c r="A328" s="210">
        <v>68640000</v>
      </c>
      <c r="B328" s="213">
        <v>1.1155397E-6</v>
      </c>
    </row>
    <row r="329" spans="1:2">
      <c r="A329" s="210">
        <v>70686000</v>
      </c>
      <c r="B329" s="213">
        <v>1.1155397E-6</v>
      </c>
    </row>
    <row r="330" spans="1:2">
      <c r="A330" s="210">
        <v>79002000</v>
      </c>
      <c r="B330" s="213">
        <v>1.13643E-6</v>
      </c>
    </row>
    <row r="331" spans="1:2">
      <c r="A331" s="210">
        <v>83490000</v>
      </c>
      <c r="B331" s="213">
        <v>1.1155397E-6</v>
      </c>
    </row>
    <row r="332" spans="1:2">
      <c r="A332" s="210">
        <v>116952000</v>
      </c>
      <c r="B332" s="213">
        <v>1.1155397E-6</v>
      </c>
    </row>
    <row r="333" spans="1:2">
      <c r="B333" s="213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D06A-57CC-43B7-8483-884852B6639E}">
  <dimension ref="A1:B17"/>
  <sheetViews>
    <sheetView workbookViewId="0">
      <selection activeCell="D39" sqref="D39"/>
    </sheetView>
  </sheetViews>
  <sheetFormatPr baseColWidth="10" defaultColWidth="11.44140625" defaultRowHeight="14.4"/>
  <cols>
    <col min="1" max="16384" width="11.44140625" style="210"/>
  </cols>
  <sheetData>
    <row r="1" spans="1:2">
      <c r="A1" s="7" t="s">
        <v>810</v>
      </c>
      <c r="B1" s="7" t="s">
        <v>803</v>
      </c>
    </row>
    <row r="3" spans="1:2">
      <c r="B3" s="210" t="s">
        <v>809</v>
      </c>
    </row>
    <row r="4" spans="1:2">
      <c r="A4" s="215" t="s">
        <v>700</v>
      </c>
      <c r="B4" s="210">
        <v>357120</v>
      </c>
    </row>
    <row r="5" spans="1:2">
      <c r="A5" s="215" t="s">
        <v>701</v>
      </c>
      <c r="B5" s="210">
        <v>454680</v>
      </c>
    </row>
    <row r="6" spans="1:2">
      <c r="A6" s="215" t="s">
        <v>702</v>
      </c>
      <c r="B6" s="210">
        <v>499560</v>
      </c>
    </row>
    <row r="7" spans="1:2">
      <c r="A7" s="215" t="s">
        <v>703</v>
      </c>
      <c r="B7" s="210">
        <v>543960</v>
      </c>
    </row>
    <row r="8" spans="1:2">
      <c r="A8" s="215" t="s">
        <v>704</v>
      </c>
      <c r="B8" s="210">
        <v>587520</v>
      </c>
    </row>
    <row r="9" spans="1:2">
      <c r="A9" s="215" t="s">
        <v>705</v>
      </c>
      <c r="B9" s="210">
        <v>632520</v>
      </c>
    </row>
    <row r="10" spans="1:2">
      <c r="A10" s="215" t="s">
        <v>706</v>
      </c>
      <c r="B10" s="210">
        <v>687120</v>
      </c>
    </row>
    <row r="11" spans="1:2">
      <c r="A11" s="215" t="s">
        <v>707</v>
      </c>
      <c r="B11" s="210">
        <v>761160</v>
      </c>
    </row>
    <row r="12" spans="1:2">
      <c r="A12" s="215" t="s">
        <v>708</v>
      </c>
      <c r="B12" s="210">
        <v>890400</v>
      </c>
    </row>
    <row r="13" spans="1:2">
      <c r="A13" s="215" t="s">
        <v>709</v>
      </c>
      <c r="B13" s="210">
        <v>1349520</v>
      </c>
    </row>
    <row r="16" spans="1:2">
      <c r="A16" s="210" t="s">
        <v>808</v>
      </c>
      <c r="B16" s="210">
        <v>676320</v>
      </c>
    </row>
    <row r="17" spans="1:2">
      <c r="A17" s="210" t="s">
        <v>807</v>
      </c>
      <c r="B17" s="210">
        <v>607920</v>
      </c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E181-4EBD-4E8E-9460-D0B8D8A36324}">
  <dimension ref="A1:B21"/>
  <sheetViews>
    <sheetView workbookViewId="0">
      <selection activeCell="B4" sqref="B4"/>
    </sheetView>
  </sheetViews>
  <sheetFormatPr baseColWidth="10" defaultColWidth="11.44140625" defaultRowHeight="14.4"/>
  <cols>
    <col min="1" max="1" width="15.44140625" style="210" customWidth="1"/>
    <col min="2" max="2" width="12.5546875" style="210" bestFit="1" customWidth="1"/>
    <col min="3" max="16384" width="11.44140625" style="210"/>
  </cols>
  <sheetData>
    <row r="1" spans="1:2">
      <c r="A1" s="7" t="s">
        <v>743</v>
      </c>
      <c r="B1" s="7" t="s">
        <v>744</v>
      </c>
    </row>
    <row r="3" spans="1:2">
      <c r="A3" s="210" t="s">
        <v>818</v>
      </c>
      <c r="B3" s="210" t="s">
        <v>817</v>
      </c>
    </row>
    <row r="4" spans="1:2">
      <c r="A4" s="210" t="s">
        <v>42</v>
      </c>
      <c r="B4" s="50">
        <v>79473.359294368405</v>
      </c>
    </row>
    <row r="5" spans="1:2">
      <c r="A5" s="210" t="s">
        <v>0</v>
      </c>
      <c r="B5" s="50">
        <v>77463.473024554696</v>
      </c>
    </row>
    <row r="6" spans="1:2">
      <c r="A6" s="210" t="s">
        <v>47</v>
      </c>
      <c r="B6" s="50">
        <v>64126.651616318501</v>
      </c>
    </row>
    <row r="7" spans="1:2">
      <c r="A7" s="210" t="s">
        <v>48</v>
      </c>
      <c r="B7" s="50">
        <v>63224.989597490399</v>
      </c>
    </row>
    <row r="8" spans="1:2">
      <c r="A8" s="210" t="s">
        <v>53</v>
      </c>
      <c r="B8" s="50">
        <v>58940.327799166902</v>
      </c>
    </row>
    <row r="9" spans="1:2">
      <c r="A9" s="210" t="s">
        <v>394</v>
      </c>
      <c r="B9" s="50">
        <v>53985.060473396203</v>
      </c>
    </row>
    <row r="10" spans="1:2">
      <c r="A10" s="210" t="s">
        <v>41</v>
      </c>
      <c r="B10" s="50">
        <v>53755.940372041303</v>
      </c>
    </row>
    <row r="11" spans="1:2">
      <c r="A11" s="210" t="s">
        <v>1</v>
      </c>
      <c r="B11" s="50">
        <v>53415.843524383403</v>
      </c>
    </row>
    <row r="12" spans="1:2">
      <c r="A12" s="210" t="s">
        <v>45</v>
      </c>
      <c r="B12" s="50">
        <v>52763.593800076902</v>
      </c>
    </row>
    <row r="13" spans="1:2">
      <c r="A13" s="210" t="s">
        <v>43</v>
      </c>
      <c r="B13" s="50">
        <v>52242.6173957582</v>
      </c>
    </row>
    <row r="14" spans="1:2">
      <c r="A14" s="210" t="s">
        <v>44</v>
      </c>
      <c r="B14" s="50">
        <v>51835.873940956</v>
      </c>
    </row>
    <row r="15" spans="1:2">
      <c r="A15" s="210" t="s">
        <v>452</v>
      </c>
      <c r="B15" s="50">
        <v>50722.454301371603</v>
      </c>
    </row>
    <row r="16" spans="1:2">
      <c r="A16" s="210" t="s">
        <v>40</v>
      </c>
      <c r="B16" s="50">
        <v>50406.830741744103</v>
      </c>
    </row>
    <row r="17" spans="1:2">
      <c r="A17" s="210" t="s">
        <v>55</v>
      </c>
      <c r="B17" s="50">
        <v>44893.334667750103</v>
      </c>
    </row>
    <row r="18" spans="1:2">
      <c r="A18" s="210" t="s">
        <v>329</v>
      </c>
      <c r="B18" s="50">
        <v>43874.581550347997</v>
      </c>
    </row>
    <row r="19" spans="1:2">
      <c r="A19" s="210" t="s">
        <v>361</v>
      </c>
      <c r="B19" s="50">
        <v>42859.336039720598</v>
      </c>
    </row>
    <row r="20" spans="1:2">
      <c r="A20" s="210" t="s">
        <v>453</v>
      </c>
      <c r="B20" s="50">
        <v>41509.204766657203</v>
      </c>
    </row>
    <row r="21" spans="1:2">
      <c r="A21" s="210" t="s">
        <v>60</v>
      </c>
      <c r="B21" s="50">
        <v>36896.559241959701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857E-2581-4EA7-993E-9199B06B14CD}">
  <dimension ref="A1:E14"/>
  <sheetViews>
    <sheetView workbookViewId="0">
      <selection activeCell="B1" sqref="B1"/>
    </sheetView>
  </sheetViews>
  <sheetFormatPr baseColWidth="10" defaultColWidth="11.44140625" defaultRowHeight="14.4"/>
  <cols>
    <col min="1" max="16384" width="11.44140625" style="210"/>
  </cols>
  <sheetData>
    <row r="1" spans="1:5">
      <c r="A1" s="7" t="s">
        <v>745</v>
      </c>
      <c r="B1" s="7" t="s">
        <v>878</v>
      </c>
    </row>
    <row r="4" spans="1:5">
      <c r="A4" s="215"/>
      <c r="B4" s="215" t="s">
        <v>816</v>
      </c>
      <c r="C4" s="215" t="s">
        <v>815</v>
      </c>
      <c r="D4" s="215" t="s">
        <v>814</v>
      </c>
      <c r="E4" s="215" t="s">
        <v>813</v>
      </c>
    </row>
    <row r="5" spans="1:5">
      <c r="A5" s="215" t="s">
        <v>700</v>
      </c>
      <c r="B5" s="217">
        <v>46</v>
      </c>
      <c r="C5" s="217">
        <v>2</v>
      </c>
      <c r="D5" s="217">
        <v>-4</v>
      </c>
      <c r="E5" s="217">
        <v>55</v>
      </c>
    </row>
    <row r="6" spans="1:5">
      <c r="A6" s="215" t="s">
        <v>701</v>
      </c>
      <c r="B6" s="217">
        <v>52</v>
      </c>
      <c r="C6" s="217">
        <v>2</v>
      </c>
      <c r="D6" s="217">
        <v>0</v>
      </c>
      <c r="E6" s="217">
        <v>46</v>
      </c>
    </row>
    <row r="7" spans="1:5">
      <c r="A7" s="215" t="s">
        <v>702</v>
      </c>
      <c r="B7" s="217">
        <v>61</v>
      </c>
      <c r="C7" s="217">
        <v>2</v>
      </c>
      <c r="D7" s="217">
        <v>1</v>
      </c>
      <c r="E7" s="217">
        <v>36</v>
      </c>
    </row>
    <row r="8" spans="1:5">
      <c r="A8" s="215" t="s">
        <v>703</v>
      </c>
      <c r="B8" s="217">
        <v>67</v>
      </c>
      <c r="C8" s="217">
        <v>2</v>
      </c>
      <c r="D8" s="217">
        <v>1</v>
      </c>
      <c r="E8" s="217">
        <v>30</v>
      </c>
    </row>
    <row r="9" spans="1:5">
      <c r="A9" s="215" t="s">
        <v>704</v>
      </c>
      <c r="B9" s="217">
        <v>73</v>
      </c>
      <c r="C9" s="217">
        <v>2</v>
      </c>
      <c r="D9" s="217">
        <v>1</v>
      </c>
      <c r="E9" s="217">
        <v>24</v>
      </c>
    </row>
    <row r="10" spans="1:5">
      <c r="A10" s="215" t="s">
        <v>705</v>
      </c>
      <c r="B10" s="217">
        <v>77</v>
      </c>
      <c r="C10" s="217">
        <v>3</v>
      </c>
      <c r="D10" s="217">
        <v>1</v>
      </c>
      <c r="E10" s="217">
        <v>19</v>
      </c>
    </row>
    <row r="11" spans="1:5">
      <c r="A11" s="215" t="s">
        <v>706</v>
      </c>
      <c r="B11" s="217">
        <v>79</v>
      </c>
      <c r="C11" s="217">
        <v>3</v>
      </c>
      <c r="D11" s="217">
        <v>2</v>
      </c>
      <c r="E11" s="217">
        <v>16</v>
      </c>
    </row>
    <row r="12" spans="1:5">
      <c r="A12" s="215" t="s">
        <v>707</v>
      </c>
      <c r="B12" s="217">
        <v>81</v>
      </c>
      <c r="C12" s="217">
        <v>4</v>
      </c>
      <c r="D12" s="217">
        <v>2</v>
      </c>
      <c r="E12" s="217">
        <v>13</v>
      </c>
    </row>
    <row r="13" spans="1:5">
      <c r="A13" s="215" t="s">
        <v>708</v>
      </c>
      <c r="B13" s="217">
        <v>82</v>
      </c>
      <c r="C13" s="217">
        <v>5</v>
      </c>
      <c r="D13" s="217">
        <v>3</v>
      </c>
      <c r="E13" s="217">
        <v>10</v>
      </c>
    </row>
    <row r="14" spans="1:5">
      <c r="A14" s="215" t="s">
        <v>709</v>
      </c>
      <c r="B14" s="217">
        <v>66</v>
      </c>
      <c r="C14" s="217">
        <v>10</v>
      </c>
      <c r="D14" s="217">
        <v>18</v>
      </c>
      <c r="E14" s="217">
        <v>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3AB0-4D02-4E75-B253-A201152F11A1}">
  <dimension ref="A1:L31"/>
  <sheetViews>
    <sheetView workbookViewId="0">
      <selection activeCell="D5" sqref="D5"/>
    </sheetView>
  </sheetViews>
  <sheetFormatPr baseColWidth="10" defaultColWidth="11.44140625" defaultRowHeight="14.4"/>
  <cols>
    <col min="1" max="16384" width="11.44140625" style="210"/>
  </cols>
  <sheetData>
    <row r="1" spans="1:12">
      <c r="A1" s="7" t="s">
        <v>746</v>
      </c>
      <c r="B1" s="7" t="s">
        <v>747</v>
      </c>
    </row>
    <row r="3" spans="1:12">
      <c r="A3" s="210" t="s">
        <v>7</v>
      </c>
      <c r="B3" s="210" t="s">
        <v>811</v>
      </c>
      <c r="C3" s="213"/>
      <c r="D3" s="213"/>
      <c r="E3" s="213"/>
      <c r="F3" s="213"/>
    </row>
    <row r="4" spans="1:12">
      <c r="A4" s="210">
        <v>1997</v>
      </c>
      <c r="B4" s="210">
        <v>0.16500000000000001</v>
      </c>
      <c r="D4" s="213"/>
      <c r="I4" s="216"/>
      <c r="J4" s="216"/>
      <c r="K4" s="216"/>
      <c r="L4" s="216"/>
    </row>
    <row r="5" spans="1:12">
      <c r="A5" s="210">
        <v>1998</v>
      </c>
      <c r="B5" s="210">
        <v>0.16300000000000001</v>
      </c>
      <c r="D5" s="213"/>
      <c r="I5" s="216"/>
      <c r="J5" s="216"/>
      <c r="K5" s="216"/>
      <c r="L5" s="216"/>
    </row>
    <row r="6" spans="1:12">
      <c r="A6" s="210">
        <v>1999</v>
      </c>
      <c r="B6" s="210">
        <v>0.16500000000000001</v>
      </c>
      <c r="D6" s="213"/>
      <c r="I6" s="216"/>
      <c r="J6" s="216"/>
      <c r="K6" s="216"/>
      <c r="L6" s="216"/>
    </row>
    <row r="7" spans="1:12">
      <c r="A7" s="210">
        <v>2000</v>
      </c>
      <c r="B7" s="210">
        <v>0.16900000000000001</v>
      </c>
      <c r="I7" s="216"/>
      <c r="J7" s="216"/>
      <c r="K7" s="216"/>
      <c r="L7" s="216"/>
    </row>
    <row r="8" spans="1:12">
      <c r="A8" s="210">
        <v>2001</v>
      </c>
      <c r="B8" s="210">
        <v>0.17599999999999999</v>
      </c>
      <c r="I8" s="216"/>
      <c r="J8" s="216"/>
      <c r="K8" s="216"/>
      <c r="L8" s="216"/>
    </row>
    <row r="9" spans="1:12">
      <c r="A9" s="210">
        <v>2002</v>
      </c>
      <c r="B9" s="210">
        <v>0.17899999999999999</v>
      </c>
      <c r="I9" s="216"/>
      <c r="J9" s="216"/>
      <c r="K9" s="216"/>
      <c r="L9" s="216"/>
    </row>
    <row r="10" spans="1:12">
      <c r="A10" s="210">
        <v>2003</v>
      </c>
      <c r="B10" s="210">
        <v>0.18</v>
      </c>
      <c r="I10" s="216"/>
      <c r="J10" s="216"/>
      <c r="K10" s="216"/>
      <c r="L10" s="216"/>
    </row>
    <row r="11" spans="1:12">
      <c r="A11" s="210">
        <v>2004</v>
      </c>
      <c r="B11" s="210">
        <v>0.18</v>
      </c>
      <c r="I11" s="216"/>
      <c r="J11" s="216"/>
      <c r="K11" s="216"/>
      <c r="L11" s="216"/>
    </row>
    <row r="12" spans="1:12">
      <c r="A12" s="210">
        <v>2005</v>
      </c>
      <c r="B12" s="210">
        <v>0.182</v>
      </c>
      <c r="I12" s="216"/>
      <c r="J12" s="216"/>
      <c r="K12" s="216"/>
      <c r="L12" s="216"/>
    </row>
    <row r="13" spans="1:12">
      <c r="A13" s="210">
        <v>2006</v>
      </c>
      <c r="B13" s="210">
        <v>0.186</v>
      </c>
      <c r="I13" s="216"/>
      <c r="J13" s="216"/>
      <c r="K13" s="216"/>
      <c r="L13" s="216"/>
    </row>
    <row r="14" spans="1:12">
      <c r="A14" s="210">
        <v>2007</v>
      </c>
      <c r="B14" s="210">
        <v>0.191</v>
      </c>
      <c r="I14" s="216"/>
      <c r="J14" s="216"/>
      <c r="K14" s="216"/>
      <c r="L14" s="216"/>
    </row>
    <row r="15" spans="1:12">
      <c r="A15" s="210">
        <v>2008</v>
      </c>
      <c r="B15" s="210">
        <v>0.193</v>
      </c>
      <c r="I15" s="216"/>
      <c r="J15" s="216"/>
      <c r="K15" s="216"/>
      <c r="L15" s="216"/>
    </row>
    <row r="16" spans="1:12">
      <c r="A16" s="210">
        <v>2009</v>
      </c>
      <c r="B16" s="210">
        <v>0.19400000000000001</v>
      </c>
      <c r="I16" s="216"/>
      <c r="J16" s="216"/>
      <c r="K16" s="216"/>
      <c r="L16" s="216"/>
    </row>
    <row r="17" spans="1:12">
      <c r="A17" s="210">
        <v>2010</v>
      </c>
      <c r="B17" s="210">
        <v>0.19500000000000001</v>
      </c>
      <c r="I17" s="216"/>
      <c r="J17" s="216"/>
      <c r="K17" s="216"/>
      <c r="L17" s="216"/>
    </row>
    <row r="18" spans="1:12">
      <c r="A18" s="210">
        <v>2011</v>
      </c>
      <c r="B18" s="210">
        <v>0.19800000000000001</v>
      </c>
      <c r="I18" s="216"/>
      <c r="J18" s="216"/>
      <c r="K18" s="216"/>
      <c r="L18" s="216"/>
    </row>
    <row r="19" spans="1:12">
      <c r="A19" s="210">
        <v>2012</v>
      </c>
      <c r="B19" s="210">
        <v>0.19800000000000001</v>
      </c>
      <c r="I19" s="216"/>
      <c r="J19" s="216"/>
      <c r="K19" s="216"/>
      <c r="L19" s="216"/>
    </row>
    <row r="20" spans="1:12">
      <c r="A20" s="210">
        <v>2013</v>
      </c>
      <c r="B20" s="210">
        <v>0.20100000000000001</v>
      </c>
      <c r="I20" s="216"/>
      <c r="J20" s="216"/>
      <c r="K20" s="216"/>
      <c r="L20" s="216"/>
    </row>
    <row r="21" spans="1:12">
      <c r="A21" s="210">
        <v>2014</v>
      </c>
      <c r="B21" s="210">
        <v>0.20100000000000001</v>
      </c>
      <c r="I21" s="216"/>
      <c r="J21" s="216"/>
      <c r="K21" s="216"/>
      <c r="L21" s="216"/>
    </row>
    <row r="22" spans="1:12">
      <c r="A22" s="210">
        <v>2015</v>
      </c>
      <c r="B22" s="210">
        <v>0.20699999999999999</v>
      </c>
      <c r="I22" s="216"/>
      <c r="J22" s="216"/>
      <c r="K22" s="216"/>
      <c r="L22" s="216"/>
    </row>
    <row r="23" spans="1:12">
      <c r="A23" s="210">
        <v>2016</v>
      </c>
      <c r="B23" s="210">
        <v>0.20499999999999999</v>
      </c>
      <c r="I23" s="216"/>
      <c r="J23" s="216"/>
      <c r="K23" s="216"/>
      <c r="L23" s="216"/>
    </row>
    <row r="24" spans="1:12">
      <c r="A24" s="210">
        <v>2017</v>
      </c>
      <c r="B24" s="210">
        <v>0.20399999999999999</v>
      </c>
      <c r="I24" s="216"/>
      <c r="J24" s="216"/>
      <c r="K24" s="216"/>
      <c r="L24" s="216"/>
    </row>
    <row r="25" spans="1:12">
      <c r="A25" s="210">
        <v>2018</v>
      </c>
      <c r="B25" s="210">
        <v>0.20599999999999999</v>
      </c>
      <c r="I25" s="216"/>
      <c r="J25" s="216"/>
      <c r="K25" s="216"/>
      <c r="L25" s="216"/>
    </row>
    <row r="26" spans="1:12">
      <c r="A26" s="210">
        <v>2019</v>
      </c>
      <c r="B26" s="210">
        <v>0.20599999999999999</v>
      </c>
      <c r="I26" s="216"/>
      <c r="J26" s="216"/>
      <c r="K26" s="216"/>
      <c r="L26" s="216"/>
    </row>
    <row r="27" spans="1:12">
      <c r="A27" s="210">
        <v>2020</v>
      </c>
      <c r="B27" s="210">
        <v>0.20599999999999999</v>
      </c>
      <c r="I27" s="216"/>
      <c r="J27" s="216"/>
      <c r="K27" s="216"/>
      <c r="L27" s="216"/>
    </row>
    <row r="28" spans="1:12">
      <c r="A28" s="210">
        <v>2021</v>
      </c>
      <c r="B28" s="210">
        <v>0.20899999999999999</v>
      </c>
      <c r="I28" s="216"/>
      <c r="J28" s="216"/>
      <c r="K28" s="216"/>
      <c r="L28" s="216"/>
    </row>
    <row r="29" spans="1:12">
      <c r="A29" s="210">
        <v>2022</v>
      </c>
      <c r="B29" s="210">
        <v>0.21099999999999999</v>
      </c>
      <c r="I29" s="216"/>
      <c r="J29" s="216"/>
      <c r="K29" s="216"/>
      <c r="L29" s="216"/>
    </row>
    <row r="30" spans="1:12">
      <c r="A30" s="210">
        <v>2023</v>
      </c>
      <c r="B30" s="210">
        <v>0.20799999999999999</v>
      </c>
    </row>
    <row r="31" spans="1:12">
      <c r="G31" s="213"/>
      <c r="H31" s="2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7EC8-BC75-4924-867C-C50C2F2F050D}">
  <dimension ref="A1:M43"/>
  <sheetViews>
    <sheetView zoomScale="110" zoomScaleNormal="110" workbookViewId="0">
      <selection activeCell="E39" sqref="E39"/>
    </sheetView>
  </sheetViews>
  <sheetFormatPr baseColWidth="10" defaultColWidth="11.44140625" defaultRowHeight="14.4"/>
  <cols>
    <col min="1" max="1" width="52.88671875" style="6" customWidth="1"/>
    <col min="2" max="6" width="11.44140625" style="6"/>
    <col min="7" max="7" width="33.5546875" style="6" customWidth="1"/>
    <col min="8" max="14" width="11.44140625" style="6"/>
    <col min="15" max="15" width="49" style="6" customWidth="1"/>
    <col min="16" max="16384" width="11.44140625" style="6"/>
  </cols>
  <sheetData>
    <row r="1" spans="1:13" ht="12" customHeight="1">
      <c r="A1" s="7" t="s">
        <v>417</v>
      </c>
      <c r="B1" s="7" t="s">
        <v>418</v>
      </c>
      <c r="G1" s="7"/>
      <c r="H1" s="7"/>
      <c r="I1" s="7"/>
      <c r="L1" s="7"/>
      <c r="M1" s="7"/>
    </row>
    <row r="2" spans="1:13">
      <c r="A2" s="51"/>
      <c r="H2" s="56"/>
      <c r="I2" s="55"/>
    </row>
    <row r="3" spans="1:13">
      <c r="H3" s="56"/>
      <c r="I3" s="55"/>
    </row>
    <row r="4" spans="1:13" ht="28.8">
      <c r="A4" s="6" t="s">
        <v>157</v>
      </c>
      <c r="B4" s="45" t="s">
        <v>117</v>
      </c>
      <c r="C4" s="6" t="s">
        <v>431</v>
      </c>
      <c r="E4" s="45"/>
      <c r="G4" s="56"/>
      <c r="H4" s="55"/>
    </row>
    <row r="5" spans="1:13">
      <c r="A5" s="6" t="s">
        <v>155</v>
      </c>
      <c r="B5" s="50">
        <v>1.7000000000000002</v>
      </c>
      <c r="C5" s="50">
        <v>6</v>
      </c>
      <c r="E5" s="50"/>
      <c r="F5" s="50"/>
      <c r="G5" s="56"/>
      <c r="H5" s="55"/>
    </row>
    <row r="6" spans="1:13">
      <c r="A6" s="6" t="s">
        <v>430</v>
      </c>
      <c r="B6" s="50">
        <v>37.5</v>
      </c>
      <c r="C6" s="50">
        <v>6</v>
      </c>
      <c r="E6" s="50"/>
      <c r="F6" s="50"/>
      <c r="G6" s="56"/>
      <c r="H6" s="55"/>
    </row>
    <row r="7" spans="1:13">
      <c r="A7" s="6" t="s">
        <v>153</v>
      </c>
      <c r="B7" s="50">
        <v>3.5000000000000004</v>
      </c>
      <c r="C7" s="50">
        <v>6</v>
      </c>
      <c r="E7" s="50"/>
      <c r="F7" s="50"/>
      <c r="G7" s="56"/>
      <c r="H7" s="55"/>
    </row>
    <row r="8" spans="1:13">
      <c r="A8" s="6" t="s">
        <v>152</v>
      </c>
      <c r="B8" s="50">
        <v>2.8000000000000003</v>
      </c>
      <c r="C8" s="50">
        <v>6</v>
      </c>
      <c r="E8" s="50"/>
      <c r="F8" s="50"/>
      <c r="G8" s="56"/>
      <c r="H8" s="55"/>
    </row>
    <row r="9" spans="1:13">
      <c r="A9" s="6" t="s">
        <v>151</v>
      </c>
      <c r="B9" s="50">
        <v>2.9000000000000004</v>
      </c>
      <c r="C9" s="50">
        <v>6</v>
      </c>
      <c r="E9" s="50"/>
      <c r="F9" s="50"/>
      <c r="G9" s="56"/>
      <c r="H9" s="55"/>
    </row>
    <row r="10" spans="1:13">
      <c r="A10" s="6" t="s">
        <v>150</v>
      </c>
      <c r="B10" s="50">
        <v>17.599999999999998</v>
      </c>
      <c r="C10" s="50">
        <v>6</v>
      </c>
      <c r="E10" s="50"/>
      <c r="F10" s="50"/>
      <c r="G10" s="56"/>
      <c r="H10" s="55"/>
    </row>
    <row r="11" spans="1:13">
      <c r="A11" s="6" t="s">
        <v>149</v>
      </c>
      <c r="B11" s="50">
        <v>6.9</v>
      </c>
      <c r="C11" s="50">
        <v>6</v>
      </c>
      <c r="E11" s="50"/>
      <c r="F11" s="50"/>
      <c r="G11" s="56"/>
      <c r="H11" s="55"/>
    </row>
    <row r="12" spans="1:13">
      <c r="A12" s="6" t="s">
        <v>148</v>
      </c>
      <c r="B12" s="50">
        <v>9.4</v>
      </c>
      <c r="C12" s="50">
        <v>6</v>
      </c>
      <c r="E12" s="50"/>
      <c r="F12" s="50"/>
      <c r="G12" s="56"/>
      <c r="H12" s="55"/>
    </row>
    <row r="13" spans="1:13">
      <c r="A13" s="6" t="s">
        <v>147</v>
      </c>
      <c r="B13" s="50">
        <v>9.7000000000000011</v>
      </c>
      <c r="C13" s="50">
        <v>6</v>
      </c>
      <c r="E13" s="50"/>
      <c r="F13" s="50"/>
      <c r="G13" s="56"/>
      <c r="H13" s="55"/>
    </row>
    <row r="14" spans="1:13">
      <c r="A14" s="6" t="s">
        <v>146</v>
      </c>
      <c r="B14" s="50">
        <v>2.2999999999999998</v>
      </c>
      <c r="C14" s="50">
        <v>6</v>
      </c>
      <c r="E14" s="50"/>
      <c r="F14" s="50"/>
      <c r="G14" s="56"/>
      <c r="H14" s="55"/>
    </row>
    <row r="15" spans="1:13">
      <c r="A15" s="6" t="s">
        <v>145</v>
      </c>
      <c r="B15" s="50">
        <v>4.5999999999999996</v>
      </c>
      <c r="C15" s="50">
        <v>6</v>
      </c>
      <c r="E15" s="50"/>
      <c r="F15" s="50"/>
      <c r="G15" s="56"/>
      <c r="H15" s="55"/>
    </row>
    <row r="16" spans="1:13">
      <c r="A16" s="6" t="s">
        <v>144</v>
      </c>
      <c r="B16" s="50">
        <v>24.2</v>
      </c>
      <c r="C16" s="50">
        <v>6</v>
      </c>
      <c r="E16" s="50"/>
      <c r="F16" s="50"/>
      <c r="G16" s="56"/>
      <c r="H16" s="55"/>
    </row>
    <row r="17" spans="1:8">
      <c r="A17" s="6" t="s">
        <v>143</v>
      </c>
      <c r="B17" s="50">
        <v>37.9</v>
      </c>
      <c r="C17" s="50">
        <v>6</v>
      </c>
      <c r="E17" s="50"/>
      <c r="F17" s="50"/>
      <c r="G17" s="56"/>
      <c r="H17" s="55"/>
    </row>
    <row r="18" spans="1:8">
      <c r="A18" s="6" t="s">
        <v>142</v>
      </c>
      <c r="B18" s="50">
        <v>1.6</v>
      </c>
      <c r="C18" s="50">
        <v>6</v>
      </c>
      <c r="E18" s="50"/>
      <c r="F18" s="50"/>
      <c r="G18" s="56"/>
      <c r="H18" s="55"/>
    </row>
    <row r="19" spans="1:8">
      <c r="A19" s="6" t="s">
        <v>141</v>
      </c>
      <c r="B19" s="50">
        <v>11.200000000000001</v>
      </c>
      <c r="C19" s="50">
        <v>6</v>
      </c>
      <c r="E19" s="50"/>
      <c r="F19" s="50"/>
      <c r="G19" s="56"/>
      <c r="H19" s="55"/>
    </row>
    <row r="20" spans="1:8">
      <c r="A20" s="6" t="s">
        <v>140</v>
      </c>
      <c r="B20" s="50">
        <v>14.299999999999999</v>
      </c>
      <c r="C20" s="50">
        <v>6</v>
      </c>
      <c r="E20" s="50"/>
      <c r="F20" s="50"/>
    </row>
    <row r="21" spans="1:8">
      <c r="A21" s="6" t="s">
        <v>139</v>
      </c>
      <c r="B21" s="50">
        <v>8.4</v>
      </c>
      <c r="C21" s="50">
        <v>6</v>
      </c>
      <c r="E21" s="50"/>
      <c r="F21" s="50"/>
    </row>
    <row r="22" spans="1:8">
      <c r="A22" s="6" t="s">
        <v>138</v>
      </c>
      <c r="B22" s="50">
        <v>10.6</v>
      </c>
      <c r="C22" s="50">
        <v>6</v>
      </c>
      <c r="E22" s="50"/>
      <c r="F22" s="50"/>
    </row>
    <row r="23" spans="1:8">
      <c r="A23" s="6" t="s">
        <v>137</v>
      </c>
      <c r="B23" s="50">
        <v>7.9</v>
      </c>
      <c r="C23" s="50">
        <v>6</v>
      </c>
      <c r="E23" s="50"/>
      <c r="F23" s="50"/>
    </row>
    <row r="24" spans="1:8">
      <c r="A24" s="6" t="s">
        <v>136</v>
      </c>
      <c r="B24" s="50">
        <v>9.6</v>
      </c>
      <c r="C24" s="50">
        <v>6</v>
      </c>
      <c r="E24" s="50"/>
      <c r="F24" s="50"/>
    </row>
    <row r="25" spans="1:8">
      <c r="A25" s="6" t="s">
        <v>135</v>
      </c>
      <c r="B25" s="50">
        <v>5.2</v>
      </c>
      <c r="C25" s="50">
        <v>6</v>
      </c>
      <c r="E25" s="50"/>
      <c r="F25" s="50"/>
    </row>
    <row r="26" spans="1:8">
      <c r="A26" s="6" t="s">
        <v>134</v>
      </c>
      <c r="B26" s="50">
        <v>3.9</v>
      </c>
      <c r="C26" s="50">
        <v>6</v>
      </c>
      <c r="E26" s="50"/>
      <c r="F26" s="50"/>
    </row>
    <row r="27" spans="1:8">
      <c r="A27" s="6" t="s">
        <v>133</v>
      </c>
      <c r="B27" s="50">
        <v>8.4</v>
      </c>
      <c r="C27" s="50">
        <v>6</v>
      </c>
      <c r="E27" s="50"/>
      <c r="F27" s="50"/>
    </row>
    <row r="28" spans="1:8">
      <c r="A28" s="6" t="s">
        <v>132</v>
      </c>
      <c r="B28" s="50">
        <v>2.5</v>
      </c>
      <c r="C28" s="50">
        <v>6</v>
      </c>
      <c r="E28" s="50"/>
      <c r="F28" s="50"/>
    </row>
    <row r="29" spans="1:8">
      <c r="A29" s="6" t="s">
        <v>131</v>
      </c>
      <c r="B29" s="50">
        <v>11.700000000000001</v>
      </c>
      <c r="C29" s="50">
        <v>6</v>
      </c>
      <c r="E29" s="50"/>
      <c r="F29" s="50"/>
    </row>
    <row r="30" spans="1:8">
      <c r="A30" s="6" t="s">
        <v>130</v>
      </c>
      <c r="B30" s="50">
        <v>3.4000000000000004</v>
      </c>
      <c r="C30" s="50">
        <v>6</v>
      </c>
      <c r="E30" s="50"/>
      <c r="F30" s="50"/>
    </row>
    <row r="31" spans="1:8">
      <c r="A31" s="6" t="s">
        <v>129</v>
      </c>
      <c r="B31" s="50">
        <v>24.3</v>
      </c>
      <c r="C31" s="50">
        <v>6</v>
      </c>
      <c r="E31" s="50"/>
      <c r="F31" s="50"/>
    </row>
    <row r="32" spans="1:8">
      <c r="A32" s="6" t="s">
        <v>128</v>
      </c>
      <c r="B32" s="50">
        <v>16.400000000000002</v>
      </c>
      <c r="C32" s="50">
        <v>6</v>
      </c>
      <c r="E32" s="50"/>
      <c r="F32" s="50"/>
    </row>
    <row r="33" spans="2:3">
      <c r="B33" s="56"/>
      <c r="C33" s="55"/>
    </row>
    <row r="34" spans="2:3">
      <c r="B34" s="73"/>
    </row>
    <row r="35" spans="2:3">
      <c r="B35" s="73"/>
    </row>
    <row r="36" spans="2:3">
      <c r="B36" s="73"/>
    </row>
    <row r="37" spans="2:3">
      <c r="B37" s="73"/>
    </row>
    <row r="38" spans="2:3">
      <c r="B38" s="73"/>
    </row>
    <row r="39" spans="2:3">
      <c r="B39" s="73"/>
    </row>
    <row r="40" spans="2:3">
      <c r="B40" s="73"/>
    </row>
    <row r="41" spans="2:3">
      <c r="B41" s="73"/>
    </row>
    <row r="43" spans="2:3">
      <c r="B43" s="73"/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4817-AEE1-481F-8E5B-24FF35930AC3}">
  <dimension ref="A1:D43"/>
  <sheetViews>
    <sheetView workbookViewId="0">
      <selection activeCell="F57" sqref="F57"/>
    </sheetView>
  </sheetViews>
  <sheetFormatPr baseColWidth="10" defaultColWidth="11.44140625" defaultRowHeight="14.4"/>
  <cols>
    <col min="1" max="16384" width="11.44140625" style="210"/>
  </cols>
  <sheetData>
    <row r="1" spans="1:4">
      <c r="A1" s="7" t="s">
        <v>748</v>
      </c>
      <c r="B1" s="7" t="s">
        <v>812</v>
      </c>
    </row>
    <row r="2" spans="1:4">
      <c r="A2" s="7"/>
    </row>
    <row r="3" spans="1:4">
      <c r="B3" s="210">
        <v>1997</v>
      </c>
      <c r="C3" s="210">
        <v>2015</v>
      </c>
      <c r="D3" s="210">
        <v>2023</v>
      </c>
    </row>
    <row r="4" spans="1:4">
      <c r="A4" s="50">
        <f>5000*12</f>
        <v>60000</v>
      </c>
      <c r="B4" s="213">
        <v>1.7795233899999999E-2</v>
      </c>
      <c r="C4" s="213">
        <v>1.57633176E-2</v>
      </c>
      <c r="D4" s="213">
        <v>2.1601182E-2</v>
      </c>
    </row>
    <row r="5" spans="1:4">
      <c r="A5" s="50">
        <f>10000*12</f>
        <v>120000</v>
      </c>
      <c r="B5" s="213">
        <v>3.3899397599999999E-2</v>
      </c>
      <c r="C5" s="213">
        <v>0.23742539439999999</v>
      </c>
      <c r="D5" s="213">
        <v>0.36579594300000001</v>
      </c>
    </row>
    <row r="6" spans="1:4">
      <c r="A6" s="50">
        <f>15000*12</f>
        <v>180000</v>
      </c>
      <c r="B6" s="213">
        <v>0.12100981600000001</v>
      </c>
      <c r="C6" s="213">
        <v>1.2997431097000001</v>
      </c>
      <c r="D6" s="213">
        <v>0.80473569599999994</v>
      </c>
    </row>
    <row r="7" spans="1:4">
      <c r="A7" s="50">
        <f>20000*12</f>
        <v>240000</v>
      </c>
      <c r="B7" s="213">
        <v>0.3786350148</v>
      </c>
      <c r="C7" s="213">
        <v>2.2260957400999999</v>
      </c>
      <c r="D7" s="213">
        <v>1.8113474771</v>
      </c>
    </row>
    <row r="8" spans="1:4">
      <c r="A8" s="50">
        <f>25000*12</f>
        <v>300000</v>
      </c>
      <c r="B8" s="213">
        <v>2.7460941587000001</v>
      </c>
      <c r="C8" s="213">
        <v>6.2515621415</v>
      </c>
      <c r="D8" s="213">
        <v>7.5419234263000003</v>
      </c>
    </row>
    <row r="9" spans="1:4">
      <c r="A9" s="50">
        <f>30000*12</f>
        <v>360000</v>
      </c>
      <c r="B9" s="213">
        <v>13.644894981</v>
      </c>
      <c r="C9" s="213">
        <v>15.388486205</v>
      </c>
      <c r="D9" s="213">
        <v>16.229408024000001</v>
      </c>
    </row>
    <row r="10" spans="1:4">
      <c r="A10" s="50">
        <f>35000*12</f>
        <v>420000</v>
      </c>
      <c r="B10" s="213">
        <v>22.608290489000002</v>
      </c>
      <c r="C10" s="213">
        <v>18.138921899</v>
      </c>
      <c r="D10" s="213">
        <v>17.391310934</v>
      </c>
    </row>
    <row r="11" spans="1:4">
      <c r="A11" s="50">
        <f>40000*12</f>
        <v>480000</v>
      </c>
      <c r="B11" s="213">
        <v>21.737718954999998</v>
      </c>
      <c r="C11" s="213">
        <v>17.062535397000001</v>
      </c>
      <c r="D11" s="213">
        <v>16.727513503000001</v>
      </c>
    </row>
    <row r="12" spans="1:4">
      <c r="A12" s="50">
        <f>45000*12</f>
        <v>540000</v>
      </c>
      <c r="B12" s="213">
        <v>14.4601238</v>
      </c>
      <c r="C12" s="213">
        <v>12.126442841999999</v>
      </c>
      <c r="D12" s="213">
        <v>11.861558423</v>
      </c>
    </row>
    <row r="13" spans="1:4">
      <c r="A13" s="50">
        <f>50000*12</f>
        <v>600000</v>
      </c>
      <c r="B13" s="213">
        <v>7.7211098425999998</v>
      </c>
      <c r="C13" s="213">
        <v>7.7221671865000001</v>
      </c>
      <c r="D13" s="213">
        <v>7.7420690460000001</v>
      </c>
    </row>
    <row r="14" spans="1:4">
      <c r="A14" s="50">
        <f>55000*12</f>
        <v>660000</v>
      </c>
      <c r="B14" s="213">
        <v>4.9342536869</v>
      </c>
      <c r="C14" s="213">
        <v>4.9670793790000003</v>
      </c>
      <c r="D14" s="213">
        <v>5.0602464139999999</v>
      </c>
    </row>
    <row r="15" spans="1:4">
      <c r="A15" s="50">
        <f>60000*12</f>
        <v>720000</v>
      </c>
      <c r="B15" s="213">
        <v>2.9670489797999999</v>
      </c>
      <c r="C15" s="213">
        <v>3.613419666</v>
      </c>
      <c r="D15" s="213">
        <v>3.7326803166000002</v>
      </c>
    </row>
    <row r="16" spans="1:4">
      <c r="A16" s="50">
        <f>65000*12</f>
        <v>780000</v>
      </c>
      <c r="B16" s="213">
        <v>2.3819758567</v>
      </c>
      <c r="C16" s="213">
        <v>2.6408450550999998</v>
      </c>
      <c r="D16" s="213">
        <v>2.6079650437000002</v>
      </c>
    </row>
    <row r="17" spans="1:4">
      <c r="A17" s="50">
        <f>70000*12</f>
        <v>840000</v>
      </c>
      <c r="B17" s="213">
        <v>1.5381514384999999</v>
      </c>
      <c r="C17" s="213">
        <v>1.9342770866000001</v>
      </c>
      <c r="D17" s="213">
        <v>1.8333451436999999</v>
      </c>
    </row>
    <row r="18" spans="1:4">
      <c r="A18" s="50">
        <f>75000*12</f>
        <v>900000</v>
      </c>
      <c r="B18" s="213">
        <v>1.1524429123</v>
      </c>
      <c r="C18" s="213">
        <v>1.4354991229</v>
      </c>
      <c r="D18" s="213">
        <v>1.4479390356999999</v>
      </c>
    </row>
    <row r="19" spans="1:4">
      <c r="A19" s="50">
        <f>80000*12</f>
        <v>960000</v>
      </c>
      <c r="B19" s="213">
        <v>0.87321341640000005</v>
      </c>
      <c r="C19" s="213">
        <v>1.0691828445</v>
      </c>
      <c r="D19" s="213">
        <v>0.96839523630000002</v>
      </c>
    </row>
    <row r="20" spans="1:4">
      <c r="A20" s="50">
        <f>85000*12</f>
        <v>1020000</v>
      </c>
      <c r="B20" s="213">
        <v>0.6508865197</v>
      </c>
      <c r="C20" s="213">
        <v>0.83098768670000001</v>
      </c>
      <c r="D20" s="213">
        <v>0.78845750199999998</v>
      </c>
    </row>
    <row r="21" spans="1:4">
      <c r="A21" s="50">
        <f>90000*12</f>
        <v>1080000</v>
      </c>
      <c r="B21" s="213">
        <v>0.48085350469999999</v>
      </c>
      <c r="C21" s="213">
        <v>0.64065455609999999</v>
      </c>
      <c r="D21" s="213">
        <v>0.60471151140000001</v>
      </c>
    </row>
    <row r="22" spans="1:4">
      <c r="A22" s="50">
        <f>95000*12</f>
        <v>1140000</v>
      </c>
      <c r="B22" s="213">
        <v>0.33099864600000001</v>
      </c>
      <c r="C22" s="213">
        <v>0.44074901370000003</v>
      </c>
      <c r="D22" s="213">
        <v>0.487705999</v>
      </c>
    </row>
    <row r="23" spans="1:4">
      <c r="A23" s="50">
        <f>100000*12</f>
        <v>1200000</v>
      </c>
      <c r="B23" s="213">
        <v>0.25234749649999999</v>
      </c>
      <c r="C23" s="213">
        <v>0.37372182430000001</v>
      </c>
      <c r="D23" s="213">
        <v>0.35748154539999999</v>
      </c>
    </row>
    <row r="24" spans="1:4">
      <c r="A24" s="50">
        <f>105000*12</f>
        <v>1260000</v>
      </c>
      <c r="B24" s="213">
        <v>0.17298836870000001</v>
      </c>
      <c r="C24" s="213">
        <v>0.28129437149999997</v>
      </c>
      <c r="D24" s="213">
        <v>0.29235341059999997</v>
      </c>
    </row>
    <row r="25" spans="1:4">
      <c r="A25" s="50">
        <f>110000*12</f>
        <v>1320000</v>
      </c>
      <c r="B25" s="213">
        <v>0.17066937909999999</v>
      </c>
      <c r="C25" s="213">
        <v>0.2169669364</v>
      </c>
      <c r="D25" s="213">
        <v>0.23091215570000001</v>
      </c>
    </row>
    <row r="26" spans="1:4">
      <c r="A26" s="50">
        <f>115000*12</f>
        <v>1380000</v>
      </c>
      <c r="B26" s="213">
        <v>0.1224309802</v>
      </c>
      <c r="C26" s="213">
        <v>0.17879178649999999</v>
      </c>
      <c r="D26" s="213">
        <v>0.18787189579999999</v>
      </c>
    </row>
    <row r="27" spans="1:4">
      <c r="A27" s="50">
        <f>120000*12</f>
        <v>1440000</v>
      </c>
      <c r="B27" s="213">
        <v>8.5420622200000004E-2</v>
      </c>
      <c r="C27" s="213">
        <v>0.14049332489999999</v>
      </c>
      <c r="D27" s="213">
        <v>0.13893853619999999</v>
      </c>
    </row>
    <row r="28" spans="1:4">
      <c r="A28" s="50">
        <f>125000*12</f>
        <v>1500000</v>
      </c>
      <c r="B28" s="213">
        <v>6.3744984000000005E-2</v>
      </c>
      <c r="C28" s="213">
        <v>0.1222784421</v>
      </c>
      <c r="D28" s="213">
        <v>0.1151918202</v>
      </c>
    </row>
    <row r="29" spans="1:4">
      <c r="A29" s="50">
        <f>130000*12</f>
        <v>1560000</v>
      </c>
      <c r="B29" s="213">
        <v>5.5761240500000003E-2</v>
      </c>
      <c r="C29" s="213">
        <v>9.1393340200000006E-2</v>
      </c>
      <c r="D29" s="213">
        <v>0.10188902549999999</v>
      </c>
    </row>
    <row r="30" spans="1:4">
      <c r="A30" s="50">
        <f>135000*12</f>
        <v>1620000</v>
      </c>
      <c r="B30" s="213">
        <v>4.4869758500000002E-2</v>
      </c>
      <c r="C30" s="213">
        <v>7.0994230899999997E-2</v>
      </c>
      <c r="D30" s="213">
        <v>7.8373251399999996E-2</v>
      </c>
    </row>
    <row r="31" spans="1:4">
      <c r="A31" s="50">
        <f>140000*12</f>
        <v>1680000</v>
      </c>
      <c r="B31" s="213">
        <v>3.4385682899999999E-2</v>
      </c>
      <c r="C31" s="213">
        <v>6.6819628699999994E-2</v>
      </c>
      <c r="D31" s="213">
        <v>6.1572600399999997E-2</v>
      </c>
    </row>
    <row r="32" spans="1:4">
      <c r="A32" s="50">
        <f>145000*12</f>
        <v>1740000</v>
      </c>
      <c r="B32" s="213">
        <v>2.8681995200000001E-2</v>
      </c>
      <c r="C32" s="213">
        <v>5.1178003E-2</v>
      </c>
      <c r="D32" s="213">
        <v>5.1493548399999998E-2</v>
      </c>
    </row>
    <row r="33" spans="1:4">
      <c r="A33" s="50">
        <f>150000*12</f>
        <v>1800000</v>
      </c>
      <c r="B33" s="213">
        <v>2.36706265E-2</v>
      </c>
      <c r="C33" s="213">
        <v>4.78754573E-2</v>
      </c>
      <c r="D33" s="213">
        <v>4.1658340100000003E-2</v>
      </c>
    </row>
    <row r="34" spans="1:4">
      <c r="A34" s="50">
        <f>155000*12</f>
        <v>1860000</v>
      </c>
      <c r="B34" s="213">
        <v>2.3052962999999999E-2</v>
      </c>
      <c r="C34" s="213">
        <v>3.5904463999999997E-2</v>
      </c>
      <c r="D34" s="213">
        <v>3.9072895000000003E-2</v>
      </c>
    </row>
    <row r="35" spans="1:4">
      <c r="A35" s="50">
        <f>160000*12</f>
        <v>1920000</v>
      </c>
      <c r="B35" s="213">
        <v>1.3737546999999999E-2</v>
      </c>
      <c r="C35" s="213">
        <v>2.8893633299999999E-2</v>
      </c>
      <c r="D35" s="213">
        <v>2.9834400099999998E-2</v>
      </c>
    </row>
    <row r="36" spans="1:4">
      <c r="A36" s="50">
        <f>165000*12</f>
        <v>1980000</v>
      </c>
      <c r="B36" s="213">
        <v>1.1218838199999999E-2</v>
      </c>
      <c r="C36" s="213">
        <v>3.0380853900000001E-2</v>
      </c>
      <c r="D36" s="213">
        <v>2.2884320100000001E-2</v>
      </c>
    </row>
    <row r="37" spans="1:4">
      <c r="A37" s="50">
        <f>170000*12</f>
        <v>2040000</v>
      </c>
      <c r="B37" s="213">
        <v>1.0952124299999999E-2</v>
      </c>
      <c r="C37" s="213">
        <v>1.9543361400000001E-2</v>
      </c>
      <c r="D37" s="213">
        <v>2.1645941500000002E-2</v>
      </c>
    </row>
    <row r="38" spans="1:4">
      <c r="A38" s="50">
        <f>175000*12</f>
        <v>2100000</v>
      </c>
      <c r="B38" s="213">
        <v>1.63361333E-2</v>
      </c>
      <c r="C38" s="213">
        <v>2.13160854E-2</v>
      </c>
      <c r="D38" s="213">
        <v>1.85221252E-2</v>
      </c>
    </row>
    <row r="39" spans="1:4">
      <c r="A39" s="50">
        <f>180000*12</f>
        <v>2160000</v>
      </c>
      <c r="B39" s="213">
        <v>8.7941948999999998E-3</v>
      </c>
      <c r="C39" s="213">
        <v>1.8236245500000001E-2</v>
      </c>
      <c r="D39" s="213">
        <v>1.56721259E-2</v>
      </c>
    </row>
    <row r="40" spans="1:4">
      <c r="A40" s="50">
        <f>185000*12</f>
        <v>2220000</v>
      </c>
      <c r="B40" s="213">
        <v>6.9794771E-3</v>
      </c>
      <c r="C40" s="213">
        <v>1.54906084E-2</v>
      </c>
      <c r="D40" s="213">
        <v>1.51713864E-2</v>
      </c>
    </row>
    <row r="41" spans="1:4">
      <c r="A41" s="50">
        <f>190000*12</f>
        <v>2280000</v>
      </c>
      <c r="B41" s="213">
        <v>4.7771751000000003E-3</v>
      </c>
      <c r="C41" s="213">
        <v>1.40358216E-2</v>
      </c>
      <c r="D41" s="213">
        <v>1.2031217300000001E-2</v>
      </c>
    </row>
    <row r="42" spans="1:4">
      <c r="A42" s="50">
        <f>195000*12</f>
        <v>2340000</v>
      </c>
      <c r="B42" s="213">
        <v>7.4772663000000003E-3</v>
      </c>
      <c r="C42" s="213">
        <v>1.3049177299999999E-2</v>
      </c>
      <c r="D42" s="213">
        <v>1.2273327000000001E-2</v>
      </c>
    </row>
    <row r="43" spans="1:4">
      <c r="A43" s="50">
        <f>200000*12</f>
        <v>2400000</v>
      </c>
      <c r="B43" s="213">
        <v>3.7296810999999999E-3</v>
      </c>
      <c r="C43" s="213">
        <v>1.1192769300000001E-2</v>
      </c>
      <c r="D43" s="213">
        <v>9.6458674000000008E-3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7F66-1C3E-44EA-841F-2FA412A48577}">
  <dimension ref="A1:D30"/>
  <sheetViews>
    <sheetView workbookViewId="0">
      <selection activeCell="B38" sqref="B38"/>
    </sheetView>
  </sheetViews>
  <sheetFormatPr baseColWidth="10" defaultColWidth="11.44140625" defaultRowHeight="14.4"/>
  <cols>
    <col min="1" max="1" width="11.44140625" style="210"/>
    <col min="2" max="4" width="20.88671875" style="210" customWidth="1"/>
    <col min="5" max="16384" width="11.44140625" style="210"/>
  </cols>
  <sheetData>
    <row r="1" spans="1:4">
      <c r="A1" s="7" t="s">
        <v>749</v>
      </c>
      <c r="B1" s="7" t="s">
        <v>804</v>
      </c>
    </row>
    <row r="3" spans="1:4">
      <c r="B3" s="211"/>
      <c r="C3" s="211"/>
      <c r="D3" s="211"/>
    </row>
    <row r="4" spans="1:4">
      <c r="A4" s="210" t="s">
        <v>7</v>
      </c>
      <c r="B4" s="210" t="s">
        <v>424</v>
      </c>
      <c r="C4" s="210" t="s">
        <v>425</v>
      </c>
      <c r="D4" s="210" t="s">
        <v>877</v>
      </c>
    </row>
    <row r="5" spans="1:4">
      <c r="A5" s="210">
        <v>1997</v>
      </c>
      <c r="B5" s="210">
        <v>1.94</v>
      </c>
      <c r="C5" s="210">
        <v>1.28</v>
      </c>
      <c r="D5" s="210">
        <v>1.37</v>
      </c>
    </row>
    <row r="6" spans="1:4">
      <c r="A6" s="210">
        <v>2003</v>
      </c>
      <c r="B6" s="210">
        <v>2.0699999999999998</v>
      </c>
      <c r="C6" s="210">
        <v>1.32</v>
      </c>
      <c r="D6" s="210">
        <v>1.43</v>
      </c>
    </row>
    <row r="7" spans="1:4">
      <c r="A7" s="210">
        <v>2009</v>
      </c>
      <c r="B7" s="210">
        <v>2.2000000000000002</v>
      </c>
      <c r="C7" s="210">
        <v>1.39</v>
      </c>
      <c r="D7" s="210">
        <v>1.54</v>
      </c>
    </row>
    <row r="8" spans="1:4">
      <c r="A8" s="210">
        <v>2015</v>
      </c>
      <c r="B8" s="210">
        <v>2.33</v>
      </c>
      <c r="C8" s="210">
        <v>1.44</v>
      </c>
      <c r="D8" s="210">
        <v>1.59</v>
      </c>
    </row>
    <row r="9" spans="1:4">
      <c r="A9" s="210">
        <v>2021</v>
      </c>
      <c r="B9" s="210">
        <v>2.34</v>
      </c>
      <c r="C9" s="210">
        <v>1.45</v>
      </c>
      <c r="D9" s="210">
        <v>1.62</v>
      </c>
    </row>
    <row r="10" spans="1:4">
      <c r="A10" s="210">
        <v>2023</v>
      </c>
      <c r="B10" s="210">
        <v>2.34</v>
      </c>
      <c r="C10" s="210">
        <v>1.43</v>
      </c>
      <c r="D10" s="210">
        <v>1.62</v>
      </c>
    </row>
    <row r="11" spans="1:4">
      <c r="B11" s="98"/>
      <c r="D11" s="237"/>
    </row>
    <row r="12" spans="1:4">
      <c r="B12" s="98"/>
      <c r="D12" s="237"/>
    </row>
    <row r="13" spans="1:4">
      <c r="B13" s="98"/>
      <c r="D13" s="237"/>
    </row>
    <row r="14" spans="1:4">
      <c r="B14" s="98"/>
      <c r="D14" s="237"/>
    </row>
    <row r="15" spans="1:4">
      <c r="B15" s="98"/>
      <c r="D15" s="237"/>
    </row>
    <row r="16" spans="1:4">
      <c r="B16" s="98"/>
      <c r="D16" s="237"/>
    </row>
    <row r="17" spans="2:4">
      <c r="B17" s="98"/>
      <c r="D17" s="237"/>
    </row>
    <row r="18" spans="2:4">
      <c r="B18" s="98"/>
      <c r="D18" s="237"/>
    </row>
    <row r="19" spans="2:4">
      <c r="B19" s="98"/>
      <c r="D19" s="237"/>
    </row>
    <row r="20" spans="2:4">
      <c r="B20" s="98"/>
      <c r="D20" s="237"/>
    </row>
    <row r="21" spans="2:4">
      <c r="B21" s="98"/>
      <c r="D21" s="237"/>
    </row>
    <row r="22" spans="2:4">
      <c r="B22" s="98"/>
      <c r="D22" s="237"/>
    </row>
    <row r="23" spans="2:4">
      <c r="B23" s="98"/>
      <c r="D23" s="237"/>
    </row>
    <row r="24" spans="2:4">
      <c r="B24" s="98"/>
      <c r="D24" s="237"/>
    </row>
    <row r="25" spans="2:4">
      <c r="B25" s="98"/>
      <c r="D25" s="237"/>
    </row>
    <row r="26" spans="2:4">
      <c r="B26" s="98"/>
      <c r="D26" s="237"/>
    </row>
    <row r="27" spans="2:4">
      <c r="B27" s="98"/>
      <c r="D27" s="237"/>
    </row>
    <row r="28" spans="2:4">
      <c r="B28" s="98"/>
      <c r="D28" s="237"/>
    </row>
    <row r="29" spans="2:4">
      <c r="B29" s="98"/>
      <c r="D29" s="237"/>
    </row>
    <row r="30" spans="2:4">
      <c r="B30" s="98"/>
      <c r="D30" s="237"/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8084-FD53-4E3F-856F-73357679C7E2}">
  <dimension ref="A1:B19"/>
  <sheetViews>
    <sheetView workbookViewId="0">
      <selection activeCell="E19" sqref="E19"/>
    </sheetView>
  </sheetViews>
  <sheetFormatPr baseColWidth="10" defaultColWidth="11.44140625" defaultRowHeight="14.4"/>
  <cols>
    <col min="1" max="16384" width="11.44140625" style="210"/>
  </cols>
  <sheetData>
    <row r="1" spans="1:2">
      <c r="A1" s="107" t="s">
        <v>750</v>
      </c>
      <c r="B1" s="7" t="s">
        <v>751</v>
      </c>
    </row>
    <row r="3" spans="1:2">
      <c r="A3" s="210" t="s">
        <v>818</v>
      </c>
      <c r="B3" s="210" t="s">
        <v>424</v>
      </c>
    </row>
    <row r="4" spans="1:2">
      <c r="A4" s="210" t="s">
        <v>40</v>
      </c>
      <c r="B4" s="210">
        <v>2.13</v>
      </c>
    </row>
    <row r="5" spans="1:2">
      <c r="A5" s="210" t="s">
        <v>41</v>
      </c>
      <c r="B5" s="210">
        <v>2.36</v>
      </c>
    </row>
    <row r="6" spans="1:2">
      <c r="A6" s="210" t="s">
        <v>44</v>
      </c>
      <c r="B6" s="210">
        <v>2.56</v>
      </c>
    </row>
    <row r="7" spans="1:2">
      <c r="A7" s="210" t="s">
        <v>47</v>
      </c>
      <c r="B7" s="210">
        <v>2.6</v>
      </c>
    </row>
    <row r="8" spans="1:2">
      <c r="A8" s="210" t="s">
        <v>55</v>
      </c>
      <c r="B8" s="210">
        <v>2.64</v>
      </c>
    </row>
    <row r="9" spans="1:2">
      <c r="A9" s="210" t="s">
        <v>48</v>
      </c>
      <c r="B9" s="210">
        <v>2.77</v>
      </c>
    </row>
    <row r="10" spans="1:2">
      <c r="A10" s="210" t="s">
        <v>45</v>
      </c>
      <c r="B10" s="210">
        <v>2.91</v>
      </c>
    </row>
    <row r="11" spans="1:2">
      <c r="A11" s="210" t="s">
        <v>53</v>
      </c>
      <c r="B11" s="210">
        <v>3.28</v>
      </c>
    </row>
    <row r="12" spans="1:2">
      <c r="A12" s="210" t="s">
        <v>357</v>
      </c>
      <c r="B12" s="210">
        <v>3.28</v>
      </c>
    </row>
    <row r="13" spans="1:2">
      <c r="A13" s="210" t="s">
        <v>876</v>
      </c>
      <c r="B13" s="210">
        <v>3.33</v>
      </c>
    </row>
    <row r="14" spans="1:2">
      <c r="A14" s="210" t="s">
        <v>394</v>
      </c>
      <c r="B14" s="210">
        <v>3.34</v>
      </c>
    </row>
    <row r="15" spans="1:2">
      <c r="A15" s="210" t="s">
        <v>456</v>
      </c>
      <c r="B15" s="210">
        <v>3.37</v>
      </c>
    </row>
    <row r="16" spans="1:2">
      <c r="A16" s="210" t="s">
        <v>361</v>
      </c>
      <c r="B16" s="210">
        <v>3.7</v>
      </c>
    </row>
    <row r="17" spans="1:2">
      <c r="A17" s="210" t="s">
        <v>57</v>
      </c>
      <c r="B17" s="210">
        <v>4.09</v>
      </c>
    </row>
    <row r="18" spans="1:2">
      <c r="A18" s="210" t="s">
        <v>457</v>
      </c>
      <c r="B18" s="210">
        <v>4.59</v>
      </c>
    </row>
    <row r="19" spans="1:2">
      <c r="A19" s="210" t="s">
        <v>0</v>
      </c>
      <c r="B19" s="210">
        <v>5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AC62-FCD2-4CF2-8F2C-327BEA990C47}">
  <dimension ref="A1:B20"/>
  <sheetViews>
    <sheetView workbookViewId="0">
      <selection activeCell="K24" sqref="K24"/>
    </sheetView>
  </sheetViews>
  <sheetFormatPr baseColWidth="10" defaultColWidth="11.44140625" defaultRowHeight="14.4"/>
  <cols>
    <col min="1" max="16384" width="11.44140625" style="210"/>
  </cols>
  <sheetData>
    <row r="1" spans="1:2">
      <c r="A1" s="107" t="s">
        <v>752</v>
      </c>
      <c r="B1" s="7" t="s">
        <v>753</v>
      </c>
    </row>
    <row r="4" spans="1:2">
      <c r="A4" s="210" t="s">
        <v>818</v>
      </c>
      <c r="B4" s="210" t="s">
        <v>425</v>
      </c>
    </row>
    <row r="5" spans="1:2">
      <c r="A5" s="210" t="s">
        <v>56</v>
      </c>
      <c r="B5" s="210">
        <v>1.33</v>
      </c>
    </row>
    <row r="6" spans="1:2">
      <c r="A6" s="210" t="s">
        <v>40</v>
      </c>
      <c r="B6" s="210">
        <v>1.35</v>
      </c>
    </row>
    <row r="7" spans="1:2">
      <c r="A7" s="210" t="s">
        <v>55</v>
      </c>
      <c r="B7" s="210">
        <v>1.4</v>
      </c>
    </row>
    <row r="8" spans="1:2">
      <c r="A8" s="210" t="s">
        <v>41</v>
      </c>
      <c r="B8" s="210">
        <v>1.44</v>
      </c>
    </row>
    <row r="9" spans="1:2">
      <c r="A9" s="210" t="s">
        <v>44</v>
      </c>
      <c r="B9" s="210">
        <v>1.47</v>
      </c>
    </row>
    <row r="10" spans="1:2">
      <c r="A10" s="210" t="s">
        <v>47</v>
      </c>
      <c r="B10" s="210">
        <v>1.48</v>
      </c>
    </row>
    <row r="11" spans="1:2">
      <c r="A11" s="210" t="s">
        <v>45</v>
      </c>
      <c r="B11" s="210">
        <v>1.49</v>
      </c>
    </row>
    <row r="12" spans="1:2">
      <c r="A12" s="210" t="s">
        <v>48</v>
      </c>
      <c r="B12" s="210">
        <v>1.55</v>
      </c>
    </row>
    <row r="13" spans="1:2">
      <c r="A13" s="210" t="s">
        <v>876</v>
      </c>
      <c r="B13" s="210">
        <v>1.64</v>
      </c>
    </row>
    <row r="14" spans="1:2">
      <c r="A14" s="210" t="s">
        <v>357</v>
      </c>
      <c r="B14" s="210">
        <v>1.65</v>
      </c>
    </row>
    <row r="15" spans="1:2">
      <c r="A15" s="210" t="s">
        <v>394</v>
      </c>
      <c r="B15" s="210">
        <v>1.69</v>
      </c>
    </row>
    <row r="16" spans="1:2">
      <c r="A16" s="210" t="s">
        <v>53</v>
      </c>
      <c r="B16" s="210">
        <v>1.78</v>
      </c>
    </row>
    <row r="17" spans="1:2">
      <c r="A17" s="210" t="s">
        <v>361</v>
      </c>
      <c r="B17" s="210">
        <v>1.8</v>
      </c>
    </row>
    <row r="18" spans="1:2">
      <c r="A18" s="210" t="s">
        <v>457</v>
      </c>
      <c r="B18" s="210">
        <v>1.83</v>
      </c>
    </row>
    <row r="19" spans="1:2">
      <c r="A19" s="210" t="s">
        <v>57</v>
      </c>
      <c r="B19" s="210">
        <v>1.86</v>
      </c>
    </row>
    <row r="20" spans="1:2">
      <c r="A20" s="210" t="s">
        <v>0</v>
      </c>
      <c r="B20" s="210">
        <v>2.02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52AF-B9A4-4CF5-92C0-44E8C76EB522}">
  <dimension ref="A1:D12"/>
  <sheetViews>
    <sheetView workbookViewId="0">
      <selection activeCell="B10" sqref="B10"/>
    </sheetView>
  </sheetViews>
  <sheetFormatPr baseColWidth="10" defaultColWidth="11.44140625" defaultRowHeight="14.4"/>
  <cols>
    <col min="1" max="16384" width="11.44140625" style="210"/>
  </cols>
  <sheetData>
    <row r="1" spans="1:4">
      <c r="A1" s="7" t="s">
        <v>754</v>
      </c>
      <c r="B1" s="7" t="s">
        <v>755</v>
      </c>
    </row>
    <row r="4" spans="1:4">
      <c r="A4" s="210" t="s">
        <v>875</v>
      </c>
      <c r="B4" s="210" t="s">
        <v>874</v>
      </c>
      <c r="C4" s="210" t="s">
        <v>793</v>
      </c>
      <c r="D4" s="210" t="s">
        <v>873</v>
      </c>
    </row>
    <row r="5" spans="1:4">
      <c r="A5" s="210" t="s">
        <v>872</v>
      </c>
      <c r="B5" s="55">
        <v>5.0000000000000001E-3</v>
      </c>
      <c r="C5" s="55">
        <v>3.0000000000000001E-3</v>
      </c>
      <c r="D5" s="55">
        <v>3.3639932844503253E-3</v>
      </c>
    </row>
    <row r="6" spans="1:4">
      <c r="A6" s="210" t="s">
        <v>871</v>
      </c>
      <c r="B6" s="55">
        <v>5.0000000000000001E-3</v>
      </c>
      <c r="C6" s="55">
        <v>5.0000000000000001E-3</v>
      </c>
      <c r="D6" s="55">
        <v>4.1785850129231281E-3</v>
      </c>
    </row>
    <row r="7" spans="1:4">
      <c r="A7" s="210" t="s">
        <v>870</v>
      </c>
      <c r="B7" s="55">
        <v>1.0999999999999999E-2</v>
      </c>
      <c r="C7" s="55">
        <v>1.2E-2</v>
      </c>
      <c r="D7" s="55">
        <v>6.0933212475419319E-3</v>
      </c>
    </row>
    <row r="8" spans="1:4">
      <c r="A8" s="210" t="s">
        <v>869</v>
      </c>
      <c r="B8" s="55">
        <v>0.02</v>
      </c>
      <c r="C8" s="55">
        <v>1.2999999999999999E-2</v>
      </c>
      <c r="D8" s="55">
        <v>1.9890283981489981E-2</v>
      </c>
    </row>
    <row r="9" spans="1:4">
      <c r="A9" s="210" t="s">
        <v>868</v>
      </c>
      <c r="B9" s="55">
        <v>3.5000000000000003E-2</v>
      </c>
      <c r="C9" s="55">
        <v>1.4E-2</v>
      </c>
      <c r="D9" s="55">
        <v>1.7632934829793757E-2</v>
      </c>
    </row>
    <row r="10" spans="1:4">
      <c r="A10" s="210" t="s">
        <v>854</v>
      </c>
      <c r="B10" s="55">
        <v>6.4000000000000001E-2</v>
      </c>
      <c r="C10" s="55">
        <v>5.3999999999999999E-2</v>
      </c>
      <c r="D10" s="55">
        <v>5.6745366849799229E-2</v>
      </c>
    </row>
    <row r="11" spans="1:4">
      <c r="A11" s="210" t="s">
        <v>237</v>
      </c>
      <c r="B11" s="55">
        <v>8.1000000000000003E-2</v>
      </c>
      <c r="C11" s="55">
        <v>5.8000000000000003E-2</v>
      </c>
      <c r="D11" s="55">
        <v>6.9340559890704881E-2</v>
      </c>
    </row>
    <row r="12" spans="1:4">
      <c r="A12" s="210" t="s">
        <v>867</v>
      </c>
      <c r="B12" s="55">
        <v>0.77900000000000003</v>
      </c>
      <c r="C12" s="55">
        <v>0.84</v>
      </c>
      <c r="D12" s="55">
        <v>0.82275495496868734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AF1A-A3DA-4100-856D-DF146F4EC5D6}">
  <dimension ref="A1:C42"/>
  <sheetViews>
    <sheetView workbookViewId="0">
      <selection activeCell="B2" sqref="B2"/>
    </sheetView>
  </sheetViews>
  <sheetFormatPr baseColWidth="10" defaultColWidth="11.44140625" defaultRowHeight="14.4"/>
  <cols>
    <col min="1" max="16384" width="11.44140625" style="210"/>
  </cols>
  <sheetData>
    <row r="1" spans="1:3">
      <c r="A1" s="7" t="s">
        <v>756</v>
      </c>
      <c r="B1" s="7" t="s">
        <v>885</v>
      </c>
    </row>
    <row r="5" spans="1:3">
      <c r="A5" s="210" t="s">
        <v>817</v>
      </c>
      <c r="B5" s="210" t="s">
        <v>866</v>
      </c>
      <c r="C5" s="210" t="s">
        <v>292</v>
      </c>
    </row>
    <row r="6" spans="1:3">
      <c r="A6" s="210">
        <v>60000</v>
      </c>
      <c r="B6" s="213">
        <v>2.5889720000000003E-4</v>
      </c>
      <c r="C6" s="236">
        <v>5.8845299999999998E-3</v>
      </c>
    </row>
    <row r="7" spans="1:3">
      <c r="A7" s="210">
        <v>120000</v>
      </c>
      <c r="B7" s="213">
        <v>4.2466639000000002E-3</v>
      </c>
      <c r="C7" s="236">
        <v>0.18715863999999999</v>
      </c>
    </row>
    <row r="8" spans="1:3">
      <c r="A8" s="210">
        <v>180000</v>
      </c>
      <c r="B8" s="213">
        <v>8.5233571999999997E-3</v>
      </c>
      <c r="C8" s="236">
        <v>0.39843890999999998</v>
      </c>
    </row>
    <row r="9" spans="1:3">
      <c r="A9" s="210">
        <v>240000</v>
      </c>
      <c r="B9" s="213">
        <v>0.18626477920000001</v>
      </c>
      <c r="C9" s="236">
        <v>0.85650156</v>
      </c>
    </row>
    <row r="10" spans="1:3">
      <c r="A10" s="210">
        <v>300000</v>
      </c>
      <c r="B10" s="213">
        <v>1.0983959326999999</v>
      </c>
      <c r="C10" s="236">
        <v>1.8038228599999999</v>
      </c>
    </row>
    <row r="11" spans="1:3">
      <c r="A11" s="210">
        <v>360000</v>
      </c>
      <c r="B11" s="213">
        <v>4.5176954467000003</v>
      </c>
      <c r="C11" s="236">
        <v>5.6135629900000001</v>
      </c>
    </row>
    <row r="12" spans="1:3">
      <c r="A12" s="210">
        <v>420000</v>
      </c>
      <c r="B12" s="213">
        <v>10.272560122</v>
      </c>
      <c r="C12" s="236">
        <v>10.798705999999999</v>
      </c>
    </row>
    <row r="13" spans="1:3">
      <c r="A13" s="210">
        <v>480000</v>
      </c>
      <c r="B13" s="213">
        <v>15.179692765</v>
      </c>
      <c r="C13" s="236">
        <v>15.1112649</v>
      </c>
    </row>
    <row r="14" spans="1:3">
      <c r="A14" s="210">
        <v>540000</v>
      </c>
      <c r="B14" s="213">
        <v>14.720809449000001</v>
      </c>
      <c r="C14" s="236">
        <v>14.646083600000001</v>
      </c>
    </row>
    <row r="15" spans="1:3">
      <c r="C15" s="235"/>
    </row>
    <row r="16" spans="1:3">
      <c r="C16" s="235"/>
    </row>
    <row r="17" spans="3:3">
      <c r="C17" s="235"/>
    </row>
    <row r="18" spans="3:3">
      <c r="C18" s="235"/>
    </row>
    <row r="19" spans="3:3">
      <c r="C19" s="235"/>
    </row>
    <row r="20" spans="3:3">
      <c r="C20" s="235"/>
    </row>
    <row r="21" spans="3:3">
      <c r="C21" s="235"/>
    </row>
    <row r="22" spans="3:3">
      <c r="C22" s="235"/>
    </row>
    <row r="23" spans="3:3">
      <c r="C23" s="235"/>
    </row>
    <row r="24" spans="3:3">
      <c r="C24" s="235"/>
    </row>
    <row r="25" spans="3:3">
      <c r="C25" s="235"/>
    </row>
    <row r="26" spans="3:3">
      <c r="C26" s="235"/>
    </row>
    <row r="27" spans="3:3">
      <c r="C27" s="235"/>
    </row>
    <row r="28" spans="3:3">
      <c r="C28" s="235"/>
    </row>
    <row r="29" spans="3:3">
      <c r="C29" s="235"/>
    </row>
    <row r="30" spans="3:3">
      <c r="C30" s="235"/>
    </row>
    <row r="31" spans="3:3">
      <c r="C31" s="235"/>
    </row>
    <row r="32" spans="3:3">
      <c r="C32" s="235"/>
    </row>
    <row r="33" spans="3:3">
      <c r="C33" s="235"/>
    </row>
    <row r="34" spans="3:3">
      <c r="C34" s="235"/>
    </row>
    <row r="35" spans="3:3">
      <c r="C35" s="235"/>
    </row>
    <row r="36" spans="3:3">
      <c r="C36" s="235"/>
    </row>
    <row r="37" spans="3:3">
      <c r="C37" s="235"/>
    </row>
    <row r="38" spans="3:3">
      <c r="C38" s="235"/>
    </row>
    <row r="39" spans="3:3">
      <c r="C39" s="235"/>
    </row>
    <row r="40" spans="3:3">
      <c r="C40" s="235"/>
    </row>
    <row r="41" spans="3:3">
      <c r="C41" s="235"/>
    </row>
    <row r="42" spans="3:3">
      <c r="C42" s="23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0C85E-9D21-4817-844B-F9D21234A66E}">
  <dimension ref="A1:C31"/>
  <sheetViews>
    <sheetView workbookViewId="0">
      <selection activeCell="H28" sqref="H28"/>
    </sheetView>
  </sheetViews>
  <sheetFormatPr baseColWidth="10" defaultColWidth="11.44140625" defaultRowHeight="14.4"/>
  <cols>
    <col min="1" max="16384" width="11.44140625" style="210"/>
  </cols>
  <sheetData>
    <row r="1" spans="1:3">
      <c r="A1" s="107" t="s">
        <v>757</v>
      </c>
      <c r="B1" s="7" t="s">
        <v>758</v>
      </c>
    </row>
    <row r="4" spans="1:3" ht="28.8">
      <c r="A4" s="210" t="s">
        <v>7</v>
      </c>
      <c r="B4" s="211" t="s">
        <v>865</v>
      </c>
      <c r="C4" s="211" t="s">
        <v>864</v>
      </c>
    </row>
    <row r="5" spans="1:3">
      <c r="A5" s="210">
        <v>1997</v>
      </c>
      <c r="B5" s="213">
        <v>0.16500000000000001</v>
      </c>
    </row>
    <row r="6" spans="1:3">
      <c r="A6" s="210">
        <v>1998</v>
      </c>
      <c r="B6" s="213">
        <v>0.16300000000000001</v>
      </c>
    </row>
    <row r="7" spans="1:3">
      <c r="A7" s="210">
        <v>1999</v>
      </c>
      <c r="B7" s="213">
        <v>0.16500000000000001</v>
      </c>
    </row>
    <row r="8" spans="1:3">
      <c r="A8" s="210">
        <v>2000</v>
      </c>
      <c r="B8" s="213">
        <v>0.16900000000000001</v>
      </c>
    </row>
    <row r="9" spans="1:3">
      <c r="A9" s="210">
        <v>2001</v>
      </c>
      <c r="B9" s="213">
        <v>0.17599999999999999</v>
      </c>
    </row>
    <row r="10" spans="1:3">
      <c r="A10" s="210">
        <v>2002</v>
      </c>
      <c r="B10" s="213">
        <v>0.17899999999999999</v>
      </c>
    </row>
    <row r="11" spans="1:3">
      <c r="A11" s="210">
        <v>2003</v>
      </c>
      <c r="B11" s="213">
        <v>0.18</v>
      </c>
    </row>
    <row r="12" spans="1:3">
      <c r="A12" s="210">
        <v>2004</v>
      </c>
      <c r="B12" s="213">
        <v>0.18</v>
      </c>
    </row>
    <row r="13" spans="1:3">
      <c r="A13" s="210">
        <v>2005</v>
      </c>
      <c r="B13" s="213">
        <v>0.182</v>
      </c>
    </row>
    <row r="14" spans="1:3">
      <c r="A14" s="210">
        <v>2006</v>
      </c>
      <c r="B14" s="213">
        <v>0.186</v>
      </c>
    </row>
    <row r="15" spans="1:3">
      <c r="A15" s="210">
        <v>2007</v>
      </c>
      <c r="B15" s="213">
        <v>0.191</v>
      </c>
    </row>
    <row r="16" spans="1:3">
      <c r="A16" s="210">
        <v>2008</v>
      </c>
      <c r="B16" s="213">
        <v>0.193</v>
      </c>
      <c r="C16" s="213">
        <v>0.19</v>
      </c>
    </row>
    <row r="17" spans="1:3">
      <c r="A17" s="210">
        <v>2009</v>
      </c>
      <c r="B17" s="213">
        <v>0.19400000000000001</v>
      </c>
      <c r="C17" s="213">
        <v>0.192</v>
      </c>
    </row>
    <row r="18" spans="1:3">
      <c r="A18" s="210">
        <v>2010</v>
      </c>
      <c r="B18" s="213">
        <v>0.19500000000000001</v>
      </c>
      <c r="C18" s="213">
        <v>0.192</v>
      </c>
    </row>
    <row r="19" spans="1:3">
      <c r="A19" s="210">
        <v>2011</v>
      </c>
      <c r="B19" s="213">
        <v>0.19800000000000001</v>
      </c>
      <c r="C19" s="213">
        <v>0.19500000000000001</v>
      </c>
    </row>
    <row r="20" spans="1:3">
      <c r="A20" s="210">
        <v>2012</v>
      </c>
      <c r="B20" s="213">
        <v>0.19800000000000001</v>
      </c>
      <c r="C20" s="213">
        <v>0.19500000000000001</v>
      </c>
    </row>
    <row r="21" spans="1:3">
      <c r="A21" s="210">
        <v>2013</v>
      </c>
      <c r="B21" s="213">
        <v>0.20100000000000001</v>
      </c>
      <c r="C21" s="213">
        <v>0.19700000000000001</v>
      </c>
    </row>
    <row r="22" spans="1:3">
      <c r="A22" s="210">
        <v>2014</v>
      </c>
      <c r="B22" s="213">
        <v>0.20100000000000001</v>
      </c>
      <c r="C22" s="213">
        <v>0.19800000000000001</v>
      </c>
    </row>
    <row r="23" spans="1:3">
      <c r="A23" s="210">
        <v>2015</v>
      </c>
      <c r="B23" s="213">
        <v>0.20699999999999999</v>
      </c>
      <c r="C23" s="213">
        <v>0.20200000000000001</v>
      </c>
    </row>
    <row r="24" spans="1:3">
      <c r="A24" s="210">
        <v>2016</v>
      </c>
      <c r="B24" s="213">
        <v>0.20499999999999999</v>
      </c>
      <c r="C24" s="213">
        <v>0.2</v>
      </c>
    </row>
    <row r="25" spans="1:3">
      <c r="A25" s="210">
        <v>2017</v>
      </c>
      <c r="B25" s="213">
        <v>0.20399999999999999</v>
      </c>
      <c r="C25" s="213">
        <v>0.2</v>
      </c>
    </row>
    <row r="26" spans="1:3">
      <c r="A26" s="210">
        <v>2018</v>
      </c>
      <c r="B26" s="213">
        <v>0.20599999999999999</v>
      </c>
      <c r="C26" s="213">
        <v>0.20100000000000001</v>
      </c>
    </row>
    <row r="27" spans="1:3">
      <c r="A27" s="210">
        <v>2019</v>
      </c>
      <c r="B27" s="213">
        <v>0.20599999999999999</v>
      </c>
      <c r="C27" s="213">
        <v>0.20200000000000001</v>
      </c>
    </row>
    <row r="28" spans="1:3">
      <c r="A28" s="210">
        <v>2020</v>
      </c>
      <c r="B28" s="213">
        <v>0.20599999999999999</v>
      </c>
      <c r="C28" s="213">
        <v>0.20100000000000001</v>
      </c>
    </row>
    <row r="29" spans="1:3">
      <c r="A29" s="210">
        <v>2021</v>
      </c>
      <c r="B29" s="213">
        <v>0.20899999999999999</v>
      </c>
      <c r="C29" s="213">
        <v>0.20399999999999999</v>
      </c>
    </row>
    <row r="30" spans="1:3">
      <c r="A30" s="210">
        <v>2022</v>
      </c>
      <c r="B30" s="213">
        <v>0.21099999999999999</v>
      </c>
      <c r="C30" s="213">
        <v>0.20599999999999999</v>
      </c>
    </row>
    <row r="31" spans="1:3">
      <c r="A31" s="210">
        <v>2023</v>
      </c>
      <c r="B31" s="213">
        <v>0.20799999999999999</v>
      </c>
      <c r="C31" s="213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E0FE8-C6F1-4DC4-8D97-5E00EBD8CC3C}">
  <dimension ref="A1:F9"/>
  <sheetViews>
    <sheetView workbookViewId="0">
      <selection activeCell="B2" sqref="B2"/>
    </sheetView>
  </sheetViews>
  <sheetFormatPr baseColWidth="10" defaultColWidth="11.44140625" defaultRowHeight="14.4"/>
  <cols>
    <col min="1" max="16384" width="11.44140625" style="210"/>
  </cols>
  <sheetData>
    <row r="1" spans="1:6">
      <c r="A1" s="7" t="s">
        <v>759</v>
      </c>
      <c r="B1" s="7" t="s">
        <v>880</v>
      </c>
    </row>
    <row r="2" spans="1:6" ht="15.6">
      <c r="A2" s="234"/>
    </row>
    <row r="3" spans="1:6">
      <c r="B3" s="210" t="s">
        <v>863</v>
      </c>
      <c r="C3" s="210" t="s">
        <v>862</v>
      </c>
      <c r="D3" s="210" t="s">
        <v>861</v>
      </c>
      <c r="E3" s="210" t="s">
        <v>710</v>
      </c>
      <c r="F3" s="210" t="s">
        <v>860</v>
      </c>
    </row>
    <row r="4" spans="1:6">
      <c r="A4" s="210">
        <v>2017</v>
      </c>
      <c r="B4" s="58">
        <v>332520</v>
      </c>
      <c r="C4" s="58">
        <v>334571.38920000003</v>
      </c>
      <c r="D4" s="233">
        <v>394200</v>
      </c>
      <c r="E4" s="233">
        <v>396864</v>
      </c>
      <c r="F4" s="58">
        <v>249390</v>
      </c>
    </row>
    <row r="5" spans="1:6">
      <c r="A5" s="210">
        <v>2018</v>
      </c>
      <c r="B5" s="58">
        <v>341040</v>
      </c>
      <c r="C5" s="58">
        <v>344181.73800000001</v>
      </c>
      <c r="D5" s="233">
        <v>406300</v>
      </c>
      <c r="E5" s="233">
        <v>408804</v>
      </c>
      <c r="F5" s="58">
        <v>255780</v>
      </c>
    </row>
    <row r="6" spans="1:6">
      <c r="A6" s="210">
        <v>2019</v>
      </c>
      <c r="B6" s="58">
        <v>354360</v>
      </c>
      <c r="C6" s="58">
        <v>357225</v>
      </c>
      <c r="D6" s="233">
        <v>421800</v>
      </c>
      <c r="E6" s="233">
        <v>421344</v>
      </c>
      <c r="F6" s="58">
        <v>265770</v>
      </c>
    </row>
    <row r="7" spans="1:6">
      <c r="A7" s="210">
        <v>2020</v>
      </c>
      <c r="B7" s="58">
        <v>363240</v>
      </c>
      <c r="C7" s="58">
        <v>364887.01079999999</v>
      </c>
      <c r="D7" s="233">
        <v>430600</v>
      </c>
      <c r="E7" s="233">
        <v>433020</v>
      </c>
      <c r="F7" s="58">
        <v>272430</v>
      </c>
    </row>
    <row r="8" spans="1:6">
      <c r="A8" s="210">
        <v>2021</v>
      </c>
      <c r="B8" s="58">
        <v>377280</v>
      </c>
      <c r="C8" s="58">
        <v>380666.72039999999</v>
      </c>
      <c r="D8" s="233">
        <v>445740</v>
      </c>
      <c r="E8" s="233">
        <v>448812</v>
      </c>
      <c r="F8" s="58">
        <v>282960</v>
      </c>
    </row>
    <row r="9" spans="1:6">
      <c r="A9" s="210">
        <v>2022</v>
      </c>
      <c r="B9" s="58">
        <v>391200</v>
      </c>
      <c r="C9" s="58">
        <v>396314.45039999997</v>
      </c>
      <c r="D9" s="233">
        <v>462995</v>
      </c>
      <c r="E9" s="233">
        <v>465888</v>
      </c>
      <c r="F9" s="58">
        <v>293400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AE1A-B16E-4D36-9F4F-A2F32FA5834D}">
  <dimension ref="A1:C17"/>
  <sheetViews>
    <sheetView workbookViewId="0">
      <selection activeCell="B10" sqref="B10"/>
    </sheetView>
  </sheetViews>
  <sheetFormatPr baseColWidth="10" defaultColWidth="11.44140625" defaultRowHeight="14.4"/>
  <cols>
    <col min="1" max="16384" width="11.44140625" style="210"/>
  </cols>
  <sheetData>
    <row r="1" spans="1:3">
      <c r="A1" s="7" t="s">
        <v>760</v>
      </c>
      <c r="B1" s="7" t="s">
        <v>881</v>
      </c>
    </row>
    <row r="4" spans="1:3">
      <c r="B4" s="210" t="s">
        <v>792</v>
      </c>
      <c r="C4" s="210" t="s">
        <v>793</v>
      </c>
    </row>
    <row r="5" spans="1:3">
      <c r="A5" s="210" t="s">
        <v>859</v>
      </c>
      <c r="B5" s="153">
        <v>8700</v>
      </c>
      <c r="C5" s="77">
        <v>4.0000000000000001E-3</v>
      </c>
    </row>
    <row r="6" spans="1:3">
      <c r="A6" s="210" t="s">
        <v>789</v>
      </c>
      <c r="B6" s="153">
        <v>121000</v>
      </c>
      <c r="C6" s="77">
        <v>6.0999999999999999E-2</v>
      </c>
    </row>
    <row r="7" spans="1:3">
      <c r="A7" s="210" t="s">
        <v>858</v>
      </c>
      <c r="B7" s="153">
        <v>139200</v>
      </c>
      <c r="C7" s="77">
        <v>7.0000000000000007E-2</v>
      </c>
    </row>
    <row r="8" spans="1:3">
      <c r="A8" s="210" t="s">
        <v>857</v>
      </c>
      <c r="B8" s="153">
        <v>384600</v>
      </c>
      <c r="C8" s="77">
        <v>0.193</v>
      </c>
    </row>
    <row r="9" spans="1:3">
      <c r="A9" s="210" t="s">
        <v>710</v>
      </c>
      <c r="B9" s="153">
        <v>398900</v>
      </c>
      <c r="C9" s="77">
        <v>0.2</v>
      </c>
    </row>
    <row r="13" spans="1:3">
      <c r="B13" s="153"/>
      <c r="C13" s="77"/>
    </row>
    <row r="14" spans="1:3">
      <c r="B14" s="153"/>
      <c r="C14" s="77"/>
    </row>
    <row r="15" spans="1:3">
      <c r="B15" s="153"/>
      <c r="C15" s="77"/>
    </row>
    <row r="16" spans="1:3">
      <c r="B16" s="153"/>
      <c r="C16" s="77"/>
    </row>
    <row r="17" spans="2:3">
      <c r="B17" s="153"/>
      <c r="C17" s="77"/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1306-7708-4456-AF4D-5D4D347AEF28}">
  <dimension ref="A1:O31"/>
  <sheetViews>
    <sheetView workbookViewId="0">
      <selection activeCell="B2" sqref="B2"/>
    </sheetView>
  </sheetViews>
  <sheetFormatPr baseColWidth="10" defaultColWidth="11.44140625" defaultRowHeight="14.4"/>
  <cols>
    <col min="1" max="16384" width="11.44140625" style="210"/>
  </cols>
  <sheetData>
    <row r="1" spans="1:15" ht="15.6">
      <c r="A1" s="7" t="s">
        <v>761</v>
      </c>
      <c r="B1" s="107" t="s">
        <v>886</v>
      </c>
      <c r="M1" s="214"/>
    </row>
    <row r="3" spans="1:15">
      <c r="N3" s="172"/>
      <c r="O3" s="172"/>
    </row>
    <row r="4" spans="1:15">
      <c r="A4" s="210" t="s">
        <v>7</v>
      </c>
      <c r="B4" s="210" t="s">
        <v>427</v>
      </c>
      <c r="C4" s="210" t="s">
        <v>426</v>
      </c>
      <c r="N4" s="172"/>
      <c r="O4" s="172"/>
    </row>
    <row r="5" spans="1:15">
      <c r="A5" s="210">
        <v>1997</v>
      </c>
      <c r="B5" s="192">
        <v>2.1999999999999999E-2</v>
      </c>
      <c r="C5" s="192"/>
      <c r="N5" s="172"/>
      <c r="O5" s="172"/>
    </row>
    <row r="6" spans="1:15">
      <c r="A6" s="210">
        <v>1998</v>
      </c>
      <c r="B6" s="192">
        <v>2.5000000000000001E-2</v>
      </c>
      <c r="C6" s="192"/>
      <c r="N6" s="172"/>
      <c r="O6" s="172"/>
    </row>
    <row r="7" spans="1:15">
      <c r="A7" s="210">
        <v>1999</v>
      </c>
      <c r="B7" s="192">
        <v>2.1000000000000001E-2</v>
      </c>
      <c r="C7" s="192"/>
      <c r="N7" s="172"/>
      <c r="O7" s="172"/>
    </row>
    <row r="8" spans="1:15">
      <c r="A8" s="210">
        <v>2000</v>
      </c>
      <c r="B8" s="192">
        <v>2.4E-2</v>
      </c>
      <c r="C8" s="192"/>
      <c r="N8" s="172"/>
      <c r="O8" s="172"/>
    </row>
    <row r="9" spans="1:15">
      <c r="A9" s="210">
        <v>2001</v>
      </c>
      <c r="B9" s="192">
        <v>2.9000000000000001E-2</v>
      </c>
      <c r="C9" s="192"/>
      <c r="N9" s="172"/>
      <c r="O9" s="172"/>
    </row>
    <row r="10" spans="1:15">
      <c r="A10" s="210">
        <v>2002</v>
      </c>
      <c r="B10" s="192">
        <v>3.5999999999999997E-2</v>
      </c>
      <c r="C10" s="192"/>
      <c r="N10" s="172"/>
      <c r="O10" s="172"/>
    </row>
    <row r="11" spans="1:15">
      <c r="A11" s="210">
        <v>2003</v>
      </c>
      <c r="B11" s="192">
        <v>3.5999999999999997E-2</v>
      </c>
      <c r="C11" s="192"/>
      <c r="N11" s="172"/>
      <c r="O11" s="172"/>
    </row>
    <row r="12" spans="1:15">
      <c r="A12" s="210">
        <v>2004</v>
      </c>
      <c r="B12" s="192">
        <v>3.6999999999999998E-2</v>
      </c>
      <c r="C12" s="192"/>
      <c r="N12" s="172"/>
      <c r="O12" s="172"/>
    </row>
    <row r="13" spans="1:15">
      <c r="A13" s="210">
        <v>2005</v>
      </c>
      <c r="B13" s="192">
        <v>3.9E-2</v>
      </c>
      <c r="C13" s="192"/>
      <c r="N13" s="172"/>
      <c r="O13" s="172"/>
    </row>
    <row r="14" spans="1:15">
      <c r="A14" s="210">
        <v>2006</v>
      </c>
      <c r="B14" s="192">
        <v>4.2000000000000003E-2</v>
      </c>
      <c r="C14" s="192"/>
      <c r="N14" s="172"/>
      <c r="O14" s="172"/>
    </row>
    <row r="15" spans="1:15">
      <c r="A15" s="210">
        <v>2007</v>
      </c>
      <c r="B15" s="192">
        <v>0.05</v>
      </c>
      <c r="C15" s="192"/>
      <c r="N15" s="172"/>
      <c r="O15" s="172"/>
    </row>
    <row r="16" spans="1:15">
      <c r="A16" s="210">
        <v>2008</v>
      </c>
      <c r="B16" s="192">
        <v>5.8999999999999997E-2</v>
      </c>
      <c r="C16" s="192">
        <v>4.2000000000000003E-2</v>
      </c>
      <c r="N16" s="172"/>
      <c r="O16" s="172"/>
    </row>
    <row r="17" spans="1:15">
      <c r="A17" s="210">
        <v>2009</v>
      </c>
      <c r="B17" s="192">
        <v>6.0999999999999999E-2</v>
      </c>
      <c r="C17" s="192">
        <v>4.4999999999999998E-2</v>
      </c>
      <c r="N17" s="172"/>
      <c r="O17" s="172"/>
    </row>
    <row r="18" spans="1:15">
      <c r="A18" s="210">
        <v>2010</v>
      </c>
      <c r="B18" s="192">
        <v>6.2E-2</v>
      </c>
      <c r="C18" s="192">
        <v>4.4999999999999998E-2</v>
      </c>
      <c r="N18" s="172"/>
      <c r="O18" s="172"/>
    </row>
    <row r="19" spans="1:15">
      <c r="A19" s="210">
        <v>2011</v>
      </c>
      <c r="B19" s="192">
        <v>6.4000000000000001E-2</v>
      </c>
      <c r="C19" s="192">
        <v>4.5999999999999999E-2</v>
      </c>
      <c r="N19" s="172"/>
      <c r="O19" s="172"/>
    </row>
    <row r="20" spans="1:15">
      <c r="A20" s="210">
        <v>2012</v>
      </c>
      <c r="B20" s="192">
        <v>6.8000000000000005E-2</v>
      </c>
      <c r="C20" s="192">
        <v>5.1999999999999998E-2</v>
      </c>
      <c r="N20" s="172"/>
      <c r="O20" s="172"/>
    </row>
    <row r="21" spans="1:15">
      <c r="A21" s="210">
        <v>2013</v>
      </c>
      <c r="B21" s="192">
        <v>6.8000000000000005E-2</v>
      </c>
      <c r="C21" s="192">
        <v>5.0999999999999997E-2</v>
      </c>
      <c r="N21" s="172"/>
      <c r="O21" s="172"/>
    </row>
    <row r="22" spans="1:15">
      <c r="A22" s="210">
        <v>2014</v>
      </c>
      <c r="B22" s="192">
        <v>7.0999999999999994E-2</v>
      </c>
      <c r="C22" s="192">
        <v>5.5E-2</v>
      </c>
      <c r="N22" s="172"/>
      <c r="O22" s="172"/>
    </row>
    <row r="23" spans="1:15">
      <c r="A23" s="210">
        <v>2015</v>
      </c>
      <c r="B23" s="192">
        <v>7.8E-2</v>
      </c>
      <c r="C23" s="192">
        <v>5.7000000000000002E-2</v>
      </c>
      <c r="N23" s="172"/>
      <c r="O23" s="172"/>
    </row>
    <row r="24" spans="1:15">
      <c r="A24" s="210">
        <v>2016</v>
      </c>
      <c r="B24" s="192">
        <v>7.6999999999999999E-2</v>
      </c>
      <c r="C24" s="192">
        <v>5.6000000000000001E-2</v>
      </c>
      <c r="N24" s="172"/>
      <c r="O24" s="172"/>
    </row>
    <row r="25" spans="1:15">
      <c r="A25" s="210">
        <v>2017</v>
      </c>
      <c r="B25" s="192">
        <v>7.6999999999999999E-2</v>
      </c>
      <c r="C25" s="192">
        <v>5.8000000000000003E-2</v>
      </c>
      <c r="N25" s="172"/>
      <c r="O25" s="172"/>
    </row>
    <row r="26" spans="1:15">
      <c r="A26" s="210">
        <v>2018</v>
      </c>
      <c r="B26" s="192">
        <v>7.6999999999999999E-2</v>
      </c>
      <c r="C26" s="192">
        <v>5.7000000000000002E-2</v>
      </c>
      <c r="N26" s="172"/>
      <c r="O26" s="172"/>
    </row>
    <row r="27" spans="1:15">
      <c r="A27" s="210">
        <v>2019</v>
      </c>
      <c r="B27" s="192">
        <v>7.8E-2</v>
      </c>
      <c r="C27" s="192">
        <v>5.8000000000000003E-2</v>
      </c>
      <c r="N27" s="172"/>
      <c r="O27" s="172"/>
    </row>
    <row r="28" spans="1:15">
      <c r="A28" s="210">
        <v>2020</v>
      </c>
      <c r="B28" s="192">
        <v>7.8E-2</v>
      </c>
      <c r="C28" s="192">
        <v>5.7000000000000002E-2</v>
      </c>
      <c r="N28" s="172"/>
      <c r="O28" s="172"/>
    </row>
    <row r="29" spans="1:15">
      <c r="A29" s="210">
        <v>2021</v>
      </c>
      <c r="B29" s="192">
        <v>7.9000000000000001E-2</v>
      </c>
      <c r="C29" s="192">
        <v>5.8000000000000003E-2</v>
      </c>
      <c r="N29" s="172"/>
      <c r="O29" s="172"/>
    </row>
    <row r="30" spans="1:15">
      <c r="A30" s="210">
        <v>2022</v>
      </c>
      <c r="B30" s="192">
        <v>7.4999999999999997E-2</v>
      </c>
      <c r="C30" s="192">
        <v>6.0999999999999999E-2</v>
      </c>
    </row>
    <row r="31" spans="1:15">
      <c r="A31" s="210">
        <v>2023</v>
      </c>
      <c r="B31" s="192">
        <v>7.3999999999999996E-2</v>
      </c>
      <c r="C31" s="19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C654-F806-468E-ADB9-5A308C69A293}">
  <dimension ref="A1:C11"/>
  <sheetViews>
    <sheetView workbookViewId="0">
      <selection activeCell="B3" sqref="B3"/>
    </sheetView>
  </sheetViews>
  <sheetFormatPr baseColWidth="10" defaultColWidth="11.44140625" defaultRowHeight="14.4"/>
  <cols>
    <col min="1" max="1" width="16.44140625" style="6" customWidth="1"/>
    <col min="2" max="2" width="18.109375" style="6" customWidth="1"/>
    <col min="3" max="16384" width="11.44140625" style="6"/>
  </cols>
  <sheetData>
    <row r="1" spans="1:3">
      <c r="A1" s="7" t="s">
        <v>419</v>
      </c>
      <c r="B1" s="7" t="s">
        <v>420</v>
      </c>
    </row>
    <row r="2" spans="1:3">
      <c r="A2" s="108" t="s">
        <v>247</v>
      </c>
    </row>
    <row r="3" spans="1:3">
      <c r="B3" s="6" t="s">
        <v>117</v>
      </c>
      <c r="C3" s="6" t="s">
        <v>431</v>
      </c>
    </row>
    <row r="4" spans="1:3">
      <c r="A4" s="6" t="s">
        <v>229</v>
      </c>
      <c r="B4" s="85">
        <f>0.316*100</f>
        <v>31.6</v>
      </c>
      <c r="C4" s="85">
        <f>0.06*100</f>
        <v>6</v>
      </c>
    </row>
    <row r="5" spans="1:3">
      <c r="A5" s="6" t="s">
        <v>432</v>
      </c>
      <c r="B5" s="85">
        <f>0.129*100</f>
        <v>12.9</v>
      </c>
      <c r="C5" s="85">
        <f>0.06*100</f>
        <v>6</v>
      </c>
    </row>
    <row r="6" spans="1:3">
      <c r="A6" s="6" t="s">
        <v>253</v>
      </c>
      <c r="B6" s="85">
        <f>0.108*100</f>
        <v>10.8</v>
      </c>
      <c r="C6" s="85">
        <f>0.06*100</f>
        <v>6</v>
      </c>
    </row>
    <row r="7" spans="1:3">
      <c r="A7" s="6" t="s">
        <v>257</v>
      </c>
      <c r="B7" s="85">
        <f>0.077*100</f>
        <v>7.7</v>
      </c>
      <c r="C7" s="85">
        <f>0.06*100</f>
        <v>6</v>
      </c>
    </row>
    <row r="8" spans="1:3">
      <c r="A8" s="6" t="s">
        <v>259</v>
      </c>
      <c r="B8" s="85">
        <f>0.096*100</f>
        <v>9.6</v>
      </c>
      <c r="C8" s="85">
        <f>0.06*100</f>
        <v>6</v>
      </c>
    </row>
    <row r="11" spans="1:3">
      <c r="A11" s="57"/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45C7F-DCF1-43BF-A941-003E20FC5F27}">
  <dimension ref="A1:C38"/>
  <sheetViews>
    <sheetView workbookViewId="0">
      <selection activeCell="B3" sqref="B3"/>
    </sheetView>
  </sheetViews>
  <sheetFormatPr baseColWidth="10" defaultColWidth="11.44140625" defaultRowHeight="14.4"/>
  <cols>
    <col min="1" max="1" width="11.44140625" style="210"/>
    <col min="2" max="2" width="15.33203125" style="210" customWidth="1"/>
    <col min="3" max="3" width="13.5546875" style="210" customWidth="1"/>
    <col min="4" max="16384" width="11.44140625" style="210"/>
  </cols>
  <sheetData>
    <row r="1" spans="1:2">
      <c r="A1" s="7" t="s">
        <v>762</v>
      </c>
      <c r="B1" s="7" t="s">
        <v>883</v>
      </c>
    </row>
    <row r="2" spans="1:2" ht="28.8">
      <c r="A2" s="16" t="s">
        <v>7</v>
      </c>
      <c r="B2" s="211" t="s">
        <v>887</v>
      </c>
    </row>
    <row r="3" spans="1:2">
      <c r="A3" s="210">
        <v>2008</v>
      </c>
      <c r="B3" s="232">
        <v>7.4999999999999997E-2</v>
      </c>
    </row>
    <row r="4" spans="1:2">
      <c r="A4" s="210">
        <v>2009</v>
      </c>
      <c r="B4" s="232">
        <v>7.0999999999999994E-2</v>
      </c>
    </row>
    <row r="5" spans="1:2">
      <c r="A5" s="210">
        <v>2010</v>
      </c>
      <c r="B5" s="232">
        <v>7.6999999999999999E-2</v>
      </c>
    </row>
    <row r="6" spans="1:2">
      <c r="A6" s="210">
        <v>2011</v>
      </c>
      <c r="B6" s="232">
        <v>7.9000000000000001E-2</v>
      </c>
    </row>
    <row r="7" spans="1:2">
      <c r="A7" s="210">
        <v>2012</v>
      </c>
      <c r="B7" s="232">
        <v>7.9000000000000001E-2</v>
      </c>
    </row>
    <row r="8" spans="1:2">
      <c r="A8" s="210">
        <v>2013</v>
      </c>
      <c r="B8" s="232">
        <v>8.2000000000000003E-2</v>
      </c>
    </row>
    <row r="9" spans="1:2">
      <c r="A9" s="210">
        <v>2014</v>
      </c>
      <c r="B9" s="232">
        <v>7.9000000000000001E-2</v>
      </c>
    </row>
    <row r="10" spans="1:2">
      <c r="A10" s="210">
        <v>2015</v>
      </c>
      <c r="B10" s="232">
        <v>8.1000000000000003E-2</v>
      </c>
    </row>
    <row r="11" spans="1:2">
      <c r="A11" s="210">
        <v>2016</v>
      </c>
      <c r="B11" s="232">
        <v>0.08</v>
      </c>
    </row>
    <row r="12" spans="1:2">
      <c r="A12" s="210">
        <v>2017</v>
      </c>
      <c r="B12" s="232">
        <v>8.5999999999999993E-2</v>
      </c>
    </row>
    <row r="13" spans="1:2">
      <c r="A13" s="210">
        <v>2018</v>
      </c>
      <c r="B13" s="232">
        <v>8.5000000000000006E-2</v>
      </c>
    </row>
    <row r="14" spans="1:2">
      <c r="A14" s="210">
        <v>2019</v>
      </c>
      <c r="B14" s="232">
        <v>8.2000000000000003E-2</v>
      </c>
    </row>
    <row r="15" spans="1:2">
      <c r="A15" s="210">
        <v>2020</v>
      </c>
      <c r="B15" s="232">
        <v>8.6999999999999994E-2</v>
      </c>
    </row>
    <row r="16" spans="1:2">
      <c r="A16" s="210">
        <v>2021</v>
      </c>
      <c r="B16" s="232">
        <v>8.3000000000000004E-2</v>
      </c>
    </row>
    <row r="17" spans="1:3">
      <c r="A17" s="210">
        <v>2022</v>
      </c>
      <c r="B17" s="232">
        <v>0.08</v>
      </c>
    </row>
    <row r="24" spans="1:3">
      <c r="B24" s="50"/>
      <c r="C24" s="50"/>
    </row>
    <row r="25" spans="1:3">
      <c r="B25" s="50"/>
      <c r="C25" s="50"/>
    </row>
    <row r="26" spans="1:3">
      <c r="B26" s="50"/>
      <c r="C26" s="50"/>
    </row>
    <row r="27" spans="1:3">
      <c r="B27" s="50"/>
      <c r="C27" s="50"/>
    </row>
    <row r="28" spans="1:3">
      <c r="B28" s="50"/>
      <c r="C28" s="50"/>
    </row>
    <row r="29" spans="1:3">
      <c r="B29" s="50"/>
      <c r="C29" s="50"/>
    </row>
    <row r="30" spans="1:3">
      <c r="B30" s="50"/>
      <c r="C30" s="50"/>
    </row>
    <row r="31" spans="1:3">
      <c r="B31" s="50"/>
      <c r="C31" s="50"/>
    </row>
    <row r="32" spans="1:3">
      <c r="B32" s="50"/>
      <c r="C32" s="50"/>
    </row>
    <row r="33" spans="2:3">
      <c r="B33" s="50"/>
      <c r="C33" s="50"/>
    </row>
    <row r="34" spans="2:3">
      <c r="B34" s="50"/>
      <c r="C34" s="50"/>
    </row>
    <row r="35" spans="2:3">
      <c r="B35" s="50"/>
      <c r="C35" s="50"/>
    </row>
    <row r="36" spans="2:3">
      <c r="B36" s="50"/>
      <c r="C36" s="50"/>
    </row>
    <row r="37" spans="2:3">
      <c r="B37" s="50"/>
      <c r="C37" s="50"/>
    </row>
    <row r="38" spans="2:3">
      <c r="B38" s="50"/>
      <c r="C38" s="50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9D6D6-4637-4631-9C3E-D194330F2797}">
  <dimension ref="A1:S11"/>
  <sheetViews>
    <sheetView workbookViewId="0">
      <selection activeCell="M29" sqref="M29"/>
    </sheetView>
  </sheetViews>
  <sheetFormatPr baseColWidth="10" defaultColWidth="11.44140625" defaultRowHeight="14.4"/>
  <cols>
    <col min="1" max="16384" width="11.44140625" style="210"/>
  </cols>
  <sheetData>
    <row r="1" spans="1:19">
      <c r="A1" s="7" t="s">
        <v>763</v>
      </c>
      <c r="B1" s="7" t="s">
        <v>764</v>
      </c>
    </row>
    <row r="4" spans="1:19">
      <c r="A4" s="210" t="s">
        <v>818</v>
      </c>
      <c r="B4" s="210">
        <v>2005</v>
      </c>
      <c r="C4" s="210">
        <v>2006</v>
      </c>
      <c r="D4" s="210">
        <v>2007</v>
      </c>
      <c r="E4" s="210">
        <v>2008</v>
      </c>
      <c r="F4" s="210">
        <v>2009</v>
      </c>
      <c r="G4" s="210">
        <v>2010</v>
      </c>
      <c r="H4" s="210">
        <v>2011</v>
      </c>
      <c r="I4" s="210">
        <v>2012</v>
      </c>
      <c r="J4" s="210">
        <v>2013</v>
      </c>
      <c r="K4" s="210">
        <v>2014</v>
      </c>
      <c r="L4" s="210">
        <v>2015</v>
      </c>
      <c r="M4" s="210">
        <v>2016</v>
      </c>
      <c r="N4" s="210">
        <v>2017</v>
      </c>
      <c r="O4" s="210">
        <v>2018</v>
      </c>
      <c r="P4" s="210">
        <v>2019</v>
      </c>
      <c r="Q4" s="210">
        <v>2020</v>
      </c>
      <c r="R4" s="210">
        <v>2021</v>
      </c>
      <c r="S4" s="210">
        <v>2022</v>
      </c>
    </row>
    <row r="5" spans="1:19">
      <c r="A5" s="210" t="s">
        <v>47</v>
      </c>
      <c r="B5" s="98">
        <v>6.4025518213724997</v>
      </c>
      <c r="C5" s="98">
        <v>7.57261291359087</v>
      </c>
      <c r="D5" s="98">
        <v>7.8392765910698099</v>
      </c>
      <c r="E5" s="98">
        <v>7.8882457230462499</v>
      </c>
      <c r="F5" s="98">
        <v>7.2773244659303904</v>
      </c>
      <c r="G5" s="98">
        <v>7.5777896707439503</v>
      </c>
      <c r="H5" s="98">
        <v>7.49137798746154</v>
      </c>
      <c r="I5" s="98">
        <v>7.5725151736758196</v>
      </c>
      <c r="J5" s="98">
        <v>7.88625962900836</v>
      </c>
      <c r="K5" s="98">
        <v>8.41933543002542</v>
      </c>
      <c r="L5" s="98">
        <v>8.2366633554948905</v>
      </c>
      <c r="M5" s="98">
        <v>8.23258267523412</v>
      </c>
      <c r="N5" s="98">
        <v>8.5194499507920298</v>
      </c>
      <c r="O5" s="98">
        <v>8.7252921688895508</v>
      </c>
      <c r="P5" s="98"/>
      <c r="Q5" s="98"/>
      <c r="R5" s="98">
        <v>9.5399999999999991</v>
      </c>
      <c r="S5" s="98"/>
    </row>
    <row r="6" spans="1:19">
      <c r="A6" s="210" t="s">
        <v>44</v>
      </c>
      <c r="B6" s="98">
        <v>6.9134013125238898</v>
      </c>
      <c r="C6" s="98">
        <v>7.4813619093953996</v>
      </c>
      <c r="D6" s="98">
        <v>7.90949645911956</v>
      </c>
      <c r="E6" s="98">
        <v>8.4731583760383504</v>
      </c>
      <c r="F6" s="98">
        <v>8.4821194944385603</v>
      </c>
      <c r="G6" s="98">
        <v>8.1230187802783398</v>
      </c>
      <c r="H6" s="98">
        <v>9.2710425373601897</v>
      </c>
      <c r="I6" s="98">
        <v>8.9133802316492599</v>
      </c>
      <c r="J6" s="98">
        <v>9.0722522286938592</v>
      </c>
      <c r="K6" s="98">
        <v>8.4490740740740709</v>
      </c>
      <c r="L6" s="98">
        <v>7.7681757998251104</v>
      </c>
      <c r="M6" s="98">
        <v>7.0758681085307904</v>
      </c>
      <c r="N6" s="98">
        <v>7.5530856661636498</v>
      </c>
      <c r="O6" s="98">
        <v>7.31696261103491</v>
      </c>
      <c r="P6" s="98">
        <v>8.62715571672965</v>
      </c>
      <c r="Q6" s="98"/>
      <c r="R6" s="98">
        <v>8.3592936193936804</v>
      </c>
      <c r="S6" s="98"/>
    </row>
    <row r="7" spans="1:19">
      <c r="A7" s="210" t="s">
        <v>53</v>
      </c>
      <c r="B7" s="98">
        <v>17.368725921532899</v>
      </c>
      <c r="C7" s="98">
        <v>18.235983768685799</v>
      </c>
      <c r="D7" s="98">
        <v>17.7213154309792</v>
      </c>
      <c r="E7" s="98">
        <v>17.290333938248999</v>
      </c>
      <c r="F7" s="98">
        <v>19.039059385535602</v>
      </c>
      <c r="G7" s="98">
        <v>18.930960869809098</v>
      </c>
      <c r="H7" s="98">
        <v>18.901569207455701</v>
      </c>
      <c r="I7" s="98">
        <v>19.100933219659201</v>
      </c>
      <c r="J7" s="98">
        <v>18.614740065374701</v>
      </c>
      <c r="K7" s="98">
        <v>18.011811204226198</v>
      </c>
      <c r="L7" s="98">
        <v>19.229878010134801</v>
      </c>
      <c r="M7" s="98">
        <v>18.830444265224202</v>
      </c>
      <c r="N7" s="98">
        <v>17.165991790891301</v>
      </c>
      <c r="O7" s="98">
        <v>17.6344353557663</v>
      </c>
      <c r="P7" s="98">
        <v>17.7660707938287</v>
      </c>
      <c r="Q7" s="98">
        <v>17.451741749302499</v>
      </c>
      <c r="R7" s="98">
        <v>16.295695211579201</v>
      </c>
      <c r="S7" s="98"/>
    </row>
    <row r="8" spans="1:19">
      <c r="A8" s="210" t="s">
        <v>41</v>
      </c>
      <c r="B8" s="98">
        <v>2.91</v>
      </c>
      <c r="C8" s="98">
        <v>3.17</v>
      </c>
      <c r="D8" s="98">
        <v>3.5</v>
      </c>
      <c r="E8" s="98">
        <v>3.85</v>
      </c>
      <c r="F8" s="98">
        <v>3.77</v>
      </c>
      <c r="G8" s="98">
        <v>3.95</v>
      </c>
      <c r="H8" s="98">
        <v>4.17</v>
      </c>
      <c r="I8" s="98">
        <v>4.4400000000000004</v>
      </c>
      <c r="J8" s="98">
        <v>4.47</v>
      </c>
      <c r="K8" s="98">
        <v>4.7</v>
      </c>
      <c r="L8" s="98">
        <v>7.27</v>
      </c>
      <c r="M8" s="98">
        <v>7.7</v>
      </c>
      <c r="N8" s="98">
        <v>7.72</v>
      </c>
      <c r="O8" s="98">
        <v>7.5</v>
      </c>
      <c r="P8" s="98">
        <v>7.52</v>
      </c>
      <c r="Q8" s="98">
        <v>7.4</v>
      </c>
      <c r="R8" s="98">
        <v>7.43</v>
      </c>
      <c r="S8" s="98">
        <v>7.09</v>
      </c>
    </row>
    <row r="9" spans="1:19">
      <c r="A9" s="210" t="s">
        <v>394</v>
      </c>
      <c r="B9" s="98">
        <v>20.975689053975199</v>
      </c>
      <c r="C9" s="98">
        <v>20.747292025853099</v>
      </c>
      <c r="D9" s="98">
        <v>20.546989349464798</v>
      </c>
      <c r="E9" s="98">
        <v>21.197719140973501</v>
      </c>
      <c r="F9" s="98">
        <v>20.614921134114699</v>
      </c>
      <c r="G9" s="98">
        <v>20.669871022513899</v>
      </c>
      <c r="H9" s="98">
        <v>20.560211227183999</v>
      </c>
      <c r="I9" s="98">
        <v>20.450346420323299</v>
      </c>
      <c r="J9" s="98">
        <v>20.5163275773637</v>
      </c>
      <c r="K9" s="98">
        <v>20.403825717322</v>
      </c>
      <c r="L9" s="98">
        <v>19.980684622813602</v>
      </c>
      <c r="M9" s="98">
        <v>19.2784060312332</v>
      </c>
      <c r="N9" s="98">
        <v>18.976365462909101</v>
      </c>
      <c r="O9" s="98">
        <v>18.961052687205999</v>
      </c>
      <c r="P9" s="98">
        <v>18.059999999999999</v>
      </c>
      <c r="Q9" s="98">
        <v>18.02</v>
      </c>
      <c r="R9" s="98">
        <v>16.66</v>
      </c>
      <c r="S9" s="98"/>
    </row>
    <row r="10" spans="1:19">
      <c r="A10" s="210" t="s">
        <v>0</v>
      </c>
      <c r="B10" s="98">
        <v>23.9643884822618</v>
      </c>
      <c r="C10" s="98">
        <v>24.222004410683699</v>
      </c>
      <c r="D10" s="98">
        <v>24.535122042109201</v>
      </c>
      <c r="E10" s="98">
        <v>24.513582191716601</v>
      </c>
      <c r="F10" s="98">
        <v>24.842480641897598</v>
      </c>
      <c r="G10" s="98">
        <v>25.291121180761401</v>
      </c>
      <c r="H10" s="98">
        <v>25.147822970793801</v>
      </c>
      <c r="I10" s="98">
        <v>25.2910032312064</v>
      </c>
      <c r="J10" s="98">
        <v>25.046277202842798</v>
      </c>
      <c r="K10" s="98">
        <v>24.927481811781298</v>
      </c>
      <c r="L10" s="98">
        <v>25.0208560610922</v>
      </c>
      <c r="M10" s="98">
        <v>24.907732469169101</v>
      </c>
      <c r="N10" s="98">
        <v>24.503182632801</v>
      </c>
      <c r="O10" s="98">
        <v>24.065000000000001</v>
      </c>
      <c r="P10" s="98">
        <v>23.379881616546498</v>
      </c>
      <c r="Q10" s="98">
        <v>23.81</v>
      </c>
      <c r="R10" s="98">
        <v>22.69</v>
      </c>
      <c r="S10" s="98">
        <v>22.66</v>
      </c>
    </row>
    <row r="11" spans="1:19">
      <c r="A11" s="210" t="s">
        <v>1</v>
      </c>
      <c r="B11" s="98">
        <v>15.745442906187099</v>
      </c>
      <c r="C11" s="98">
        <v>15.9004571678269</v>
      </c>
      <c r="D11" s="98">
        <v>15.7748270498066</v>
      </c>
      <c r="E11" s="98">
        <v>15.3754176516582</v>
      </c>
      <c r="F11" s="98">
        <v>15.1087368499993</v>
      </c>
      <c r="G11" s="98">
        <v>15.1246386002277</v>
      </c>
      <c r="H11" s="98">
        <v>15.0111996932217</v>
      </c>
      <c r="I11" s="98">
        <v>14.7876188163001</v>
      </c>
      <c r="J11" s="98">
        <v>14.585924588068201</v>
      </c>
      <c r="K11" s="98">
        <v>14.528529987940599</v>
      </c>
      <c r="L11" s="98">
        <v>14.6640921011739</v>
      </c>
      <c r="M11" s="98">
        <v>14.2248582474831</v>
      </c>
      <c r="N11" s="98">
        <v>13.8182020779855</v>
      </c>
      <c r="O11" s="98">
        <v>13.6643865648884</v>
      </c>
      <c r="P11" s="98">
        <v>13.8723797019804</v>
      </c>
      <c r="Q11" s="98">
        <v>13.8880737359876</v>
      </c>
      <c r="R11" s="98">
        <v>13.784434658957901</v>
      </c>
      <c r="S11" s="98">
        <v>13.9657196010156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B7EA-694D-4E8C-BEA5-B402BCD08F39}">
  <dimension ref="A1:F13"/>
  <sheetViews>
    <sheetView workbookViewId="0">
      <selection activeCell="C9" sqref="C9"/>
    </sheetView>
  </sheetViews>
  <sheetFormatPr baseColWidth="10" defaultColWidth="11.44140625" defaultRowHeight="14.4"/>
  <cols>
    <col min="1" max="16384" width="11.44140625" style="210"/>
  </cols>
  <sheetData>
    <row r="1" spans="1:6">
      <c r="A1" s="7" t="s">
        <v>765</v>
      </c>
      <c r="B1" s="7" t="s">
        <v>884</v>
      </c>
    </row>
    <row r="2" spans="1:6">
      <c r="A2" s="7"/>
    </row>
    <row r="4" spans="1:6">
      <c r="B4" s="210" t="s">
        <v>856</v>
      </c>
      <c r="C4" s="210" t="s">
        <v>855</v>
      </c>
    </row>
    <row r="5" spans="1:6">
      <c r="A5" s="210" t="s">
        <v>854</v>
      </c>
      <c r="B5" s="98">
        <v>2.204419703433793E-2</v>
      </c>
      <c r="C5" s="98">
        <v>3.5750501120150928E-2</v>
      </c>
    </row>
    <row r="6" spans="1:6">
      <c r="A6" s="210" t="s">
        <v>853</v>
      </c>
      <c r="B6" s="98">
        <v>0.84079420382435477</v>
      </c>
      <c r="C6" s="98">
        <v>0.72647093503124627</v>
      </c>
      <c r="E6" s="231"/>
    </row>
    <row r="7" spans="1:6">
      <c r="A7" s="210" t="s">
        <v>852</v>
      </c>
      <c r="B7" s="98">
        <v>6.0512086773155858E-2</v>
      </c>
      <c r="C7" s="98">
        <v>1.5807884290374562E-2</v>
      </c>
      <c r="E7" s="231"/>
    </row>
    <row r="8" spans="1:6">
      <c r="A8" s="210" t="s">
        <v>851</v>
      </c>
      <c r="B8" s="98">
        <v>6.8367321441569458E-3</v>
      </c>
      <c r="C8" s="98">
        <v>2.0249184451519082E-2</v>
      </c>
      <c r="E8" s="231"/>
    </row>
    <row r="9" spans="1:6">
      <c r="A9" s="210" t="s">
        <v>850</v>
      </c>
      <c r="B9" s="98">
        <v>1.9219006832386535E-2</v>
      </c>
      <c r="C9" s="98">
        <v>2.8495067405573241E-2</v>
      </c>
      <c r="E9" s="231"/>
    </row>
    <row r="10" spans="1:6">
      <c r="A10" s="210" t="s">
        <v>849</v>
      </c>
      <c r="B10" s="98">
        <v>4.6660995644611604E-2</v>
      </c>
      <c r="C10" s="98">
        <v>0.14449553904806822</v>
      </c>
      <c r="E10" s="231"/>
    </row>
    <row r="11" spans="1:6">
      <c r="A11" s="210" t="s">
        <v>237</v>
      </c>
      <c r="B11" s="98">
        <v>3.9327777469963686E-3</v>
      </c>
      <c r="C11" s="98">
        <v>2.8730888653067641E-2</v>
      </c>
      <c r="E11" s="231"/>
    </row>
    <row r="12" spans="1:6">
      <c r="A12" s="210" t="s">
        <v>848</v>
      </c>
      <c r="E12" s="231"/>
    </row>
    <row r="13" spans="1:6">
      <c r="D13" s="230"/>
      <c r="F13" s="230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1F59-C827-4DEE-A926-85D19643FF6C}">
  <dimension ref="A1:B9"/>
  <sheetViews>
    <sheetView workbookViewId="0">
      <selection activeCell="G27" sqref="G27"/>
    </sheetView>
  </sheetViews>
  <sheetFormatPr baseColWidth="10" defaultColWidth="11.44140625" defaultRowHeight="14.4"/>
  <cols>
    <col min="1" max="16384" width="11.44140625" style="210"/>
  </cols>
  <sheetData>
    <row r="1" spans="1:2">
      <c r="A1" s="7" t="s">
        <v>766</v>
      </c>
      <c r="B1" s="7" t="s">
        <v>767</v>
      </c>
    </row>
    <row r="4" spans="1:2">
      <c r="A4" s="210" t="s">
        <v>7</v>
      </c>
      <c r="B4" s="210" t="s">
        <v>334</v>
      </c>
    </row>
    <row r="5" spans="1:2">
      <c r="A5" s="210" t="s">
        <v>823</v>
      </c>
      <c r="B5" s="218">
        <f>0.0210212937733374*100</f>
        <v>2.1021293773337399</v>
      </c>
    </row>
    <row r="6" spans="1:2">
      <c r="A6" s="210" t="s">
        <v>822</v>
      </c>
      <c r="B6" s="218">
        <f>0.0214376931484033*100</f>
        <v>2.1437693148403301</v>
      </c>
    </row>
    <row r="7" spans="1:2">
      <c r="A7" s="210" t="s">
        <v>821</v>
      </c>
      <c r="B7" s="218">
        <f>0.0209441782288941*100</f>
        <v>2.0944178228894099</v>
      </c>
    </row>
    <row r="8" spans="1:2">
      <c r="A8" s="210" t="s">
        <v>820</v>
      </c>
      <c r="B8" s="218">
        <f>0.0200147070227371*100</f>
        <v>2.0014707022737102</v>
      </c>
    </row>
    <row r="9" spans="1:2">
      <c r="A9" s="210" t="s">
        <v>819</v>
      </c>
      <c r="B9" s="218">
        <f>0.019501246959939*100</f>
        <v>1.9501246959939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5DAF-6E1C-4667-BAF5-574B59FC9AE5}">
  <dimension ref="A1:E30"/>
  <sheetViews>
    <sheetView workbookViewId="0">
      <selection activeCell="N54" sqref="N54"/>
    </sheetView>
  </sheetViews>
  <sheetFormatPr baseColWidth="10" defaultColWidth="11.44140625" defaultRowHeight="14.4"/>
  <cols>
    <col min="1" max="16384" width="11.44140625" style="210"/>
  </cols>
  <sheetData>
    <row r="1" spans="1:5">
      <c r="A1" s="7" t="s">
        <v>768</v>
      </c>
      <c r="B1" s="7" t="s">
        <v>769</v>
      </c>
    </row>
    <row r="2" spans="1:5" ht="15">
      <c r="E2" s="229"/>
    </row>
    <row r="3" spans="1:5">
      <c r="B3" s="227" t="s">
        <v>847</v>
      </c>
      <c r="C3" s="227" t="s">
        <v>846</v>
      </c>
      <c r="D3" s="227" t="s">
        <v>845</v>
      </c>
    </row>
    <row r="4" spans="1:5">
      <c r="A4" s="227">
        <v>1997</v>
      </c>
      <c r="B4" s="176">
        <v>4.8102383053839404</v>
      </c>
      <c r="C4" s="228">
        <v>2.1310399846941719</v>
      </c>
      <c r="D4" s="176">
        <f t="shared" ref="D4:D21" si="0">D5/(1+C5/100)</f>
        <v>65.312401891241791</v>
      </c>
    </row>
    <row r="5" spans="1:5">
      <c r="A5" s="227">
        <v>1998</v>
      </c>
      <c r="B5" s="176">
        <v>6.5263157894736912</v>
      </c>
      <c r="C5" s="228">
        <v>4.1827368421052613</v>
      </c>
      <c r="D5" s="176">
        <f t="shared" si="0"/>
        <v>68.044247787610615</v>
      </c>
    </row>
    <row r="6" spans="1:5">
      <c r="A6" s="227">
        <v>1999</v>
      </c>
      <c r="B6" s="176">
        <v>5.3754940711462362</v>
      </c>
      <c r="C6" s="228">
        <v>3.0063480656366215</v>
      </c>
      <c r="D6" s="176">
        <f t="shared" si="0"/>
        <v>70.089894714750443</v>
      </c>
    </row>
    <row r="7" spans="1:5">
      <c r="A7" s="227">
        <v>2000</v>
      </c>
      <c r="B7" s="176">
        <v>4.5386346586646642</v>
      </c>
      <c r="C7" s="228">
        <v>1.3677945552738935</v>
      </c>
      <c r="D7" s="176">
        <f t="shared" si="0"/>
        <v>71.048580478456003</v>
      </c>
    </row>
    <row r="8" spans="1:5">
      <c r="A8" s="227">
        <v>2001</v>
      </c>
      <c r="B8" s="176">
        <v>5.3103695730175815</v>
      </c>
      <c r="C8" s="228">
        <v>2.2101563013187997</v>
      </c>
      <c r="D8" s="176">
        <f t="shared" si="0"/>
        <v>72.618865156898153</v>
      </c>
    </row>
    <row r="9" spans="1:5">
      <c r="A9" s="227">
        <v>2002</v>
      </c>
      <c r="B9" s="176">
        <v>5.4173764906303212</v>
      </c>
      <c r="C9" s="228">
        <v>4.0769193872072451</v>
      </c>
      <c r="D9" s="176">
        <f t="shared" si="0"/>
        <v>75.579477749249619</v>
      </c>
    </row>
    <row r="10" spans="1:5">
      <c r="A10" s="227">
        <v>2003</v>
      </c>
      <c r="B10" s="176">
        <v>4.4925662572721459</v>
      </c>
      <c r="C10" s="228">
        <v>1.9914144053693406</v>
      </c>
      <c r="D10" s="176">
        <f t="shared" si="0"/>
        <v>77.084578356651093</v>
      </c>
    </row>
    <row r="11" spans="1:5">
      <c r="A11" s="227">
        <v>2004</v>
      </c>
      <c r="B11" s="176">
        <v>3.4952056913083895</v>
      </c>
      <c r="C11" s="228">
        <v>3.038474863014895</v>
      </c>
      <c r="D11" s="176">
        <f t="shared" si="0"/>
        <v>79.426773893278963</v>
      </c>
    </row>
    <row r="12" spans="1:5">
      <c r="A12" s="227">
        <v>2005</v>
      </c>
      <c r="B12" s="176">
        <v>3.3173939031679645</v>
      </c>
      <c r="C12" s="228">
        <v>1.7016570741001713</v>
      </c>
      <c r="D12" s="176">
        <f t="shared" si="0"/>
        <v>80.77834520996349</v>
      </c>
    </row>
    <row r="13" spans="1:5">
      <c r="A13" s="227">
        <v>2006</v>
      </c>
      <c r="B13" s="176">
        <v>4.1076077523864551</v>
      </c>
      <c r="C13" s="228">
        <v>1.8078645055198184</v>
      </c>
      <c r="D13" s="176">
        <f t="shared" si="0"/>
        <v>82.238708241160694</v>
      </c>
    </row>
    <row r="14" spans="1:5">
      <c r="A14" s="227">
        <v>2007</v>
      </c>
      <c r="B14" s="176">
        <v>5.3903862183940054</v>
      </c>
      <c r="C14" s="228">
        <v>4.5906278069559381</v>
      </c>
      <c r="D14" s="176">
        <f t="shared" si="0"/>
        <v>86.013981249760775</v>
      </c>
    </row>
    <row r="15" spans="1:5">
      <c r="A15" s="227">
        <v>2008</v>
      </c>
      <c r="B15" s="176">
        <v>6.3010809385710465</v>
      </c>
      <c r="C15" s="228">
        <v>2.4151762738791938</v>
      </c>
      <c r="D15" s="176">
        <f t="shared" si="0"/>
        <v>88.091370517123892</v>
      </c>
    </row>
    <row r="16" spans="1:5">
      <c r="A16" s="227">
        <v>2009</v>
      </c>
      <c r="B16" s="176">
        <v>4.2162698412698374</v>
      </c>
      <c r="C16" s="228">
        <v>2.0606429392228787</v>
      </c>
      <c r="D16" s="176">
        <f t="shared" si="0"/>
        <v>89.906619123749664</v>
      </c>
    </row>
    <row r="17" spans="1:4">
      <c r="A17" s="227">
        <v>2010</v>
      </c>
      <c r="B17" s="176">
        <v>3.6887196573060388</v>
      </c>
      <c r="C17" s="228">
        <v>1.1931060630696377</v>
      </c>
      <c r="D17" s="176">
        <f t="shared" si="0"/>
        <v>90.979300447616055</v>
      </c>
    </row>
    <row r="18" spans="1:4">
      <c r="A18" s="227">
        <v>2011</v>
      </c>
      <c r="B18" s="176">
        <v>4.1542345650677159</v>
      </c>
      <c r="C18" s="228">
        <v>2.8762684967846619</v>
      </c>
      <c r="D18" s="176">
        <f t="shared" si="0"/>
        <v>93.596109404985896</v>
      </c>
    </row>
    <row r="19" spans="1:4">
      <c r="A19" s="227">
        <v>2012</v>
      </c>
      <c r="B19" s="176">
        <v>4.0105773468488426</v>
      </c>
      <c r="C19" s="228">
        <v>3.2190204416216783</v>
      </c>
      <c r="D19" s="176">
        <f t="shared" si="0"/>
        <v>96.608987299294981</v>
      </c>
    </row>
    <row r="20" spans="1:4">
      <c r="A20" s="227">
        <v>2013</v>
      </c>
      <c r="B20" s="176">
        <v>3.9406779661016911</v>
      </c>
      <c r="C20" s="228">
        <v>1.7720200055571178</v>
      </c>
      <c r="D20" s="176">
        <f t="shared" si="0"/>
        <v>98.320917881404625</v>
      </c>
    </row>
    <row r="21" spans="1:4">
      <c r="A21" s="227">
        <v>2014</v>
      </c>
      <c r="B21" s="176">
        <v>3.057480635955967</v>
      </c>
      <c r="C21" s="228">
        <v>1.0249371902504523</v>
      </c>
      <c r="D21" s="176">
        <f t="shared" si="0"/>
        <v>99.328645534566746</v>
      </c>
    </row>
    <row r="22" spans="1:4">
      <c r="A22" s="227">
        <v>2015</v>
      </c>
      <c r="B22" s="176">
        <v>2.8085443037974667</v>
      </c>
      <c r="C22" s="228">
        <v>0.67589209720937404</v>
      </c>
      <c r="D22" s="176">
        <v>100</v>
      </c>
    </row>
    <row r="23" spans="1:4">
      <c r="A23" s="227">
        <v>2016</v>
      </c>
      <c r="B23" s="176">
        <v>1.7506733358984228</v>
      </c>
      <c r="C23" s="228">
        <v>-1.7628167654792581</v>
      </c>
      <c r="D23" s="176">
        <f t="shared" ref="D23:D30" si="1">D22*(1+C23/100)</f>
        <v>98.237183234520742</v>
      </c>
    </row>
    <row r="24" spans="1:4">
      <c r="A24" s="227">
        <v>2017</v>
      </c>
      <c r="B24" s="176">
        <v>2.2877670637171388</v>
      </c>
      <c r="C24" s="228">
        <v>0.44561770427578029</v>
      </c>
      <c r="D24" s="176">
        <f t="shared" si="1"/>
        <v>98.674945515195603</v>
      </c>
    </row>
    <row r="25" spans="1:4">
      <c r="A25" s="227">
        <v>2018</v>
      </c>
      <c r="B25" s="176">
        <v>2.8280961182994391</v>
      </c>
      <c r="C25" s="228">
        <v>7.7159967533124707E-2</v>
      </c>
      <c r="D25" s="176">
        <f t="shared" si="1"/>
        <v>98.751083071118458</v>
      </c>
    </row>
    <row r="26" spans="1:4">
      <c r="A26" s="227">
        <v>2019</v>
      </c>
      <c r="B26" s="176">
        <v>3.4873269818443298</v>
      </c>
      <c r="C26" s="176">
        <v>1.245724231335088</v>
      </c>
      <c r="D26" s="176">
        <f t="shared" si="1"/>
        <v>99.981249241641223</v>
      </c>
    </row>
    <row r="27" spans="1:4">
      <c r="A27" s="227">
        <v>2020</v>
      </c>
      <c r="B27" s="176">
        <v>3.0918881361820416</v>
      </c>
      <c r="C27" s="176">
        <v>1.8055365908107968</v>
      </c>
      <c r="D27" s="176">
        <f t="shared" si="1"/>
        <v>101.7864472806488</v>
      </c>
    </row>
    <row r="28" spans="1:4">
      <c r="A28" s="227">
        <v>2021</v>
      </c>
      <c r="B28" s="176">
        <v>3.5046335299073306</v>
      </c>
      <c r="C28" s="176">
        <v>2.7733695569365224E-2</v>
      </c>
      <c r="D28" s="176">
        <f t="shared" si="1"/>
        <v>101.81467642406849</v>
      </c>
    </row>
    <row r="29" spans="1:4">
      <c r="A29" s="227">
        <v>2022</v>
      </c>
      <c r="B29" s="176">
        <v>4.3</v>
      </c>
      <c r="C29" s="176">
        <v>-1.4</v>
      </c>
      <c r="D29" s="176">
        <f t="shared" si="1"/>
        <v>100.38927095413153</v>
      </c>
    </row>
    <row r="30" spans="1:4">
      <c r="A30" s="210">
        <v>2023</v>
      </c>
      <c r="B30" s="176">
        <v>5.2</v>
      </c>
      <c r="C30" s="176">
        <v>-0.3</v>
      </c>
      <c r="D30" s="176">
        <f t="shared" si="1"/>
        <v>100.08810314126914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2224-E11C-474F-BC39-F8830D5D3EE5}">
  <dimension ref="A1:F8"/>
  <sheetViews>
    <sheetView workbookViewId="0">
      <selection activeCell="J43" sqref="J43"/>
    </sheetView>
  </sheetViews>
  <sheetFormatPr baseColWidth="10" defaultColWidth="11.44140625" defaultRowHeight="14.4"/>
  <cols>
    <col min="1" max="16384" width="11.44140625" style="210"/>
  </cols>
  <sheetData>
    <row r="1" spans="1:6">
      <c r="A1" s="7" t="s">
        <v>770</v>
      </c>
      <c r="B1" s="7" t="s">
        <v>771</v>
      </c>
    </row>
    <row r="3" spans="1:6">
      <c r="A3" s="210" t="s">
        <v>844</v>
      </c>
      <c r="B3" s="210" t="s">
        <v>700</v>
      </c>
      <c r="C3" s="210" t="s">
        <v>701</v>
      </c>
      <c r="D3" s="210" t="s">
        <v>704</v>
      </c>
      <c r="E3" s="210" t="s">
        <v>708</v>
      </c>
      <c r="F3" s="210" t="s">
        <v>709</v>
      </c>
    </row>
    <row r="4" spans="1:6">
      <c r="A4" s="210" t="s">
        <v>843</v>
      </c>
      <c r="B4" s="192">
        <v>0.10838634882918807</v>
      </c>
      <c r="C4" s="192">
        <v>0.13551724424706646</v>
      </c>
      <c r="D4" s="192">
        <v>0.15933657420646274</v>
      </c>
      <c r="E4" s="192">
        <v>0.20106358261488588</v>
      </c>
      <c r="F4" s="192">
        <v>0.21394578743127446</v>
      </c>
    </row>
    <row r="5" spans="1:6">
      <c r="A5" s="210" t="s">
        <v>842</v>
      </c>
      <c r="B5" s="192">
        <v>8.0270458280264245E-2</v>
      </c>
      <c r="C5" s="192">
        <v>0.12476082640172814</v>
      </c>
      <c r="D5" s="192">
        <v>0.15874017688294084</v>
      </c>
      <c r="E5" s="192">
        <v>0.17421605668036255</v>
      </c>
      <c r="F5" s="192">
        <v>0.20356948596072177</v>
      </c>
    </row>
    <row r="6" spans="1:6">
      <c r="A6" s="210" t="s">
        <v>841</v>
      </c>
      <c r="B6" s="192">
        <v>1.4478242677824493E-2</v>
      </c>
      <c r="C6" s="192">
        <v>8.1126319373510336E-2</v>
      </c>
      <c r="D6" s="192">
        <v>0.10179654614139233</v>
      </c>
      <c r="E6" s="192">
        <v>0.132318181818182</v>
      </c>
      <c r="F6" s="192">
        <v>0.12519858932263173</v>
      </c>
    </row>
    <row r="7" spans="1:6">
      <c r="A7" s="210" t="s">
        <v>840</v>
      </c>
      <c r="B7" s="192">
        <v>2.1711366538952781E-2</v>
      </c>
      <c r="C7" s="192">
        <v>-6.7006417516042305E-3</v>
      </c>
      <c r="D7" s="192">
        <v>-1.9081168354615485E-3</v>
      </c>
      <c r="E7" s="192">
        <v>-2.3714051653511703E-4</v>
      </c>
      <c r="F7" s="192">
        <v>1.1753105612413828E-2</v>
      </c>
    </row>
    <row r="8" spans="1:6">
      <c r="B8" s="226"/>
      <c r="C8" s="226"/>
      <c r="D8" s="226"/>
      <c r="E8" s="226"/>
      <c r="F8" s="226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00D4-21E7-44A8-9FBC-B34A9EF29360}">
  <dimension ref="A1:E16"/>
  <sheetViews>
    <sheetView workbookViewId="0">
      <selection activeCell="P42" sqref="P42"/>
    </sheetView>
  </sheetViews>
  <sheetFormatPr baseColWidth="10" defaultColWidth="11.44140625" defaultRowHeight="14.4"/>
  <cols>
    <col min="1" max="16384" width="11.44140625" style="210"/>
  </cols>
  <sheetData>
    <row r="1" spans="1:5">
      <c r="A1" s="7" t="s">
        <v>772</v>
      </c>
      <c r="B1" s="7" t="s">
        <v>773</v>
      </c>
    </row>
    <row r="4" spans="1:5">
      <c r="A4" s="225" t="s">
        <v>839</v>
      </c>
      <c r="B4" s="224" t="s">
        <v>838</v>
      </c>
      <c r="C4" s="224" t="s">
        <v>837</v>
      </c>
      <c r="D4" s="224" t="s">
        <v>836</v>
      </c>
      <c r="E4" s="224" t="s">
        <v>835</v>
      </c>
    </row>
    <row r="5" spans="1:5">
      <c r="A5" s="225">
        <v>1</v>
      </c>
      <c r="B5" s="224">
        <v>8.3000000000000007</v>
      </c>
      <c r="C5" s="224">
        <v>6.7</v>
      </c>
      <c r="D5" s="224">
        <v>9.6</v>
      </c>
      <c r="E5" s="224">
        <v>26.7</v>
      </c>
    </row>
    <row r="6" spans="1:5">
      <c r="A6" s="225">
        <v>2</v>
      </c>
      <c r="B6" s="224">
        <v>8.3000000000000007</v>
      </c>
      <c r="C6" s="224">
        <v>6.5</v>
      </c>
      <c r="D6" s="224">
        <v>9.4</v>
      </c>
      <c r="E6" s="224">
        <v>26.2</v>
      </c>
    </row>
    <row r="7" spans="1:5">
      <c r="A7" s="225">
        <v>3</v>
      </c>
      <c r="B7" s="224">
        <v>8.4</v>
      </c>
      <c r="C7" s="224">
        <v>6.4</v>
      </c>
      <c r="D7" s="224">
        <v>9.1999999999999993</v>
      </c>
      <c r="E7" s="224">
        <v>26</v>
      </c>
    </row>
    <row r="8" spans="1:5">
      <c r="A8" s="225">
        <v>4</v>
      </c>
      <c r="B8" s="224">
        <v>8.4</v>
      </c>
      <c r="C8" s="224">
        <v>6.4</v>
      </c>
      <c r="D8" s="224">
        <v>9.1</v>
      </c>
      <c r="E8" s="224">
        <v>25.8</v>
      </c>
    </row>
    <row r="9" spans="1:5">
      <c r="A9" s="225">
        <v>5</v>
      </c>
      <c r="B9" s="224">
        <v>8.4</v>
      </c>
      <c r="C9" s="224">
        <v>6.3</v>
      </c>
      <c r="D9" s="224">
        <v>9.1</v>
      </c>
      <c r="E9" s="224">
        <v>25.6</v>
      </c>
    </row>
    <row r="10" spans="1:5">
      <c r="A10" s="225">
        <v>6</v>
      </c>
      <c r="B10" s="224">
        <v>8.4</v>
      </c>
      <c r="C10" s="224">
        <v>6.2</v>
      </c>
      <c r="D10" s="224">
        <v>9</v>
      </c>
      <c r="E10" s="224">
        <v>25.5</v>
      </c>
    </row>
    <row r="11" spans="1:5">
      <c r="A11" s="225">
        <v>7</v>
      </c>
      <c r="B11" s="224">
        <v>8.4</v>
      </c>
      <c r="C11" s="224">
        <v>6.2</v>
      </c>
      <c r="D11" s="224">
        <v>9</v>
      </c>
      <c r="E11" s="224">
        <v>25.4</v>
      </c>
    </row>
    <row r="12" spans="1:5">
      <c r="A12" s="225">
        <v>8</v>
      </c>
      <c r="B12" s="224">
        <v>8.4</v>
      </c>
      <c r="C12" s="224">
        <v>6.2</v>
      </c>
      <c r="D12" s="224">
        <v>8.9</v>
      </c>
      <c r="E12" s="224">
        <v>25.3</v>
      </c>
    </row>
    <row r="13" spans="1:5">
      <c r="A13" s="225">
        <v>9</v>
      </c>
      <c r="B13" s="224">
        <v>8.4</v>
      </c>
      <c r="C13" s="224">
        <v>6.1</v>
      </c>
      <c r="D13" s="224">
        <v>8.8000000000000007</v>
      </c>
      <c r="E13" s="224">
        <v>25.2</v>
      </c>
    </row>
    <row r="14" spans="1:5">
      <c r="A14" s="225">
        <v>10</v>
      </c>
      <c r="B14" s="224">
        <v>8.5</v>
      </c>
      <c r="C14" s="224">
        <v>6</v>
      </c>
      <c r="D14" s="224">
        <v>8.6999999999999993</v>
      </c>
      <c r="E14" s="224">
        <v>25</v>
      </c>
    </row>
    <row r="15" spans="1:5">
      <c r="A15" s="225" t="s">
        <v>292</v>
      </c>
      <c r="B15" s="224">
        <v>8.4</v>
      </c>
      <c r="C15" s="224">
        <v>6.3</v>
      </c>
      <c r="D15" s="224">
        <v>9.1</v>
      </c>
      <c r="E15" s="224">
        <v>25.7</v>
      </c>
    </row>
    <row r="16" spans="1:5">
      <c r="A16" s="109"/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9C67-CDCE-484F-BBE7-87C82D881443}">
  <dimension ref="A1:C9"/>
  <sheetViews>
    <sheetView workbookViewId="0">
      <selection activeCell="B2" sqref="B2"/>
    </sheetView>
  </sheetViews>
  <sheetFormatPr baseColWidth="10" defaultColWidth="11.44140625" defaultRowHeight="14.4"/>
  <cols>
    <col min="1" max="16384" width="11.44140625" style="210"/>
  </cols>
  <sheetData>
    <row r="1" spans="1:3">
      <c r="A1" s="7" t="s">
        <v>774</v>
      </c>
      <c r="B1" s="7" t="s">
        <v>888</v>
      </c>
    </row>
    <row r="4" spans="1:3">
      <c r="B4" s="210" t="s">
        <v>833</v>
      </c>
      <c r="C4" s="210" t="s">
        <v>832</v>
      </c>
    </row>
    <row r="5" spans="1:3">
      <c r="A5" s="210">
        <v>2017</v>
      </c>
      <c r="B5" s="192">
        <v>0.19744691539655343</v>
      </c>
      <c r="C5" s="192">
        <v>2.958688573362055E-2</v>
      </c>
    </row>
    <row r="6" spans="1:3">
      <c r="A6" s="210">
        <v>2018</v>
      </c>
      <c r="B6" s="192">
        <v>0.19411455502793049</v>
      </c>
      <c r="C6" s="192">
        <v>3.0281990141133381E-2</v>
      </c>
    </row>
    <row r="7" spans="1:3">
      <c r="A7" s="210">
        <v>2019</v>
      </c>
      <c r="B7" s="192">
        <v>0.19158842310903035</v>
      </c>
      <c r="C7" s="192">
        <v>2.9537473475708061E-2</v>
      </c>
    </row>
    <row r="8" spans="1:3">
      <c r="A8" s="210">
        <v>2020</v>
      </c>
      <c r="B8" s="192">
        <v>0.18018995211513533</v>
      </c>
      <c r="C8" s="192">
        <v>2.6745565082122228E-2</v>
      </c>
    </row>
    <row r="9" spans="1:3">
      <c r="A9" s="210">
        <v>2021</v>
      </c>
      <c r="B9" s="192">
        <v>0.18395683939926938</v>
      </c>
      <c r="C9" s="192">
        <v>2.6274205651775778E-2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F32F-70BD-4E03-AF90-ADE84AB5F511}">
  <dimension ref="A1:J45"/>
  <sheetViews>
    <sheetView workbookViewId="0">
      <selection activeCell="L28" sqref="L28"/>
    </sheetView>
  </sheetViews>
  <sheetFormatPr baseColWidth="10" defaultColWidth="11.44140625" defaultRowHeight="14.4"/>
  <cols>
    <col min="1" max="3" width="11.44140625" style="219"/>
    <col min="4" max="4" width="12.88671875" style="219" customWidth="1"/>
    <col min="5" max="8" width="11.5546875" style="219" bestFit="1" customWidth="1"/>
    <col min="9" max="9" width="11.6640625" style="219" customWidth="1"/>
    <col min="10" max="16384" width="11.44140625" style="219"/>
  </cols>
  <sheetData>
    <row r="1" spans="1:3">
      <c r="A1" s="223" t="s">
        <v>775</v>
      </c>
      <c r="B1" s="223" t="s">
        <v>776</v>
      </c>
    </row>
    <row r="4" spans="1:3">
      <c r="A4" s="219" t="s">
        <v>818</v>
      </c>
      <c r="B4" s="219" t="s">
        <v>827</v>
      </c>
      <c r="C4" s="219" t="s">
        <v>826</v>
      </c>
    </row>
    <row r="5" spans="1:3">
      <c r="A5" s="219" t="s">
        <v>40</v>
      </c>
      <c r="B5" s="219">
        <v>6.2</v>
      </c>
      <c r="C5" s="219">
        <v>84.6</v>
      </c>
    </row>
    <row r="6" spans="1:3">
      <c r="A6" s="219" t="s">
        <v>55</v>
      </c>
      <c r="B6" s="219">
        <v>7.1</v>
      </c>
      <c r="C6" s="219">
        <v>69.599999999999994</v>
      </c>
    </row>
    <row r="7" spans="1:3">
      <c r="A7" s="219" t="s">
        <v>53</v>
      </c>
      <c r="B7" s="219">
        <v>4.7</v>
      </c>
      <c r="C7" s="219">
        <v>68.7</v>
      </c>
    </row>
    <row r="8" spans="1:3">
      <c r="A8" s="219" t="s">
        <v>825</v>
      </c>
      <c r="B8" s="219">
        <v>5.9</v>
      </c>
      <c r="C8" s="219">
        <v>65.3</v>
      </c>
    </row>
    <row r="9" spans="1:3">
      <c r="A9" s="219" t="s">
        <v>824</v>
      </c>
      <c r="B9" s="219">
        <v>2.9</v>
      </c>
      <c r="C9" s="219">
        <v>63.9</v>
      </c>
    </row>
    <row r="10" spans="1:3">
      <c r="A10" s="219" t="s">
        <v>44</v>
      </c>
      <c r="B10" s="219">
        <v>1.6</v>
      </c>
      <c r="C10" s="219">
        <v>63.3</v>
      </c>
    </row>
    <row r="11" spans="1:3">
      <c r="A11" s="219" t="s">
        <v>48</v>
      </c>
      <c r="B11" s="219">
        <v>2.1</v>
      </c>
      <c r="C11" s="219">
        <v>63.3</v>
      </c>
    </row>
    <row r="12" spans="1:3">
      <c r="A12" s="219" t="s">
        <v>41</v>
      </c>
      <c r="B12" s="219">
        <v>4.7</v>
      </c>
      <c r="C12" s="219">
        <v>63.3</v>
      </c>
    </row>
    <row r="13" spans="1:3">
      <c r="A13" s="219" t="s">
        <v>605</v>
      </c>
      <c r="B13" s="219">
        <v>4.5999999999999996</v>
      </c>
      <c r="C13" s="219">
        <v>62.6</v>
      </c>
    </row>
    <row r="14" spans="1:3">
      <c r="A14" s="219" t="s">
        <v>361</v>
      </c>
      <c r="B14" s="219">
        <v>7.6</v>
      </c>
      <c r="C14" s="219">
        <v>60.2</v>
      </c>
    </row>
    <row r="15" spans="1:3">
      <c r="A15" s="219" t="s">
        <v>49</v>
      </c>
      <c r="B15" s="219">
        <v>5.0999999999999996</v>
      </c>
      <c r="C15" s="219">
        <v>56.7</v>
      </c>
    </row>
    <row r="16" spans="1:3">
      <c r="A16" s="219" t="s">
        <v>47</v>
      </c>
      <c r="B16" s="219">
        <v>4.5999999999999996</v>
      </c>
      <c r="C16" s="219">
        <v>54.5</v>
      </c>
    </row>
    <row r="17" spans="1:3">
      <c r="A17" s="219" t="s">
        <v>43</v>
      </c>
      <c r="B17" s="219">
        <v>2.5</v>
      </c>
      <c r="C17" s="219">
        <v>49.9</v>
      </c>
    </row>
    <row r="45" spans="7:10">
      <c r="G45" s="222"/>
      <c r="H45" s="221"/>
      <c r="I45" s="221"/>
      <c r="J45" s="220"/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15B1-C897-48FA-A548-5D85D75C3080}">
  <dimension ref="A1:E11"/>
  <sheetViews>
    <sheetView workbookViewId="0">
      <selection activeCell="B1" sqref="B1"/>
    </sheetView>
  </sheetViews>
  <sheetFormatPr baseColWidth="10" defaultColWidth="11.44140625" defaultRowHeight="14.4"/>
  <cols>
    <col min="1" max="16384" width="11.44140625" style="210"/>
  </cols>
  <sheetData>
    <row r="1" spans="1:5">
      <c r="A1" s="7" t="s">
        <v>775</v>
      </c>
      <c r="B1" s="7" t="s">
        <v>805</v>
      </c>
    </row>
    <row r="4" spans="1:5">
      <c r="A4" s="210" t="s">
        <v>7</v>
      </c>
      <c r="B4" s="210" t="s">
        <v>831</v>
      </c>
      <c r="C4" s="210" t="s">
        <v>830</v>
      </c>
      <c r="D4" s="210" t="s">
        <v>829</v>
      </c>
      <c r="E4" s="210" t="s">
        <v>828</v>
      </c>
    </row>
    <row r="5" spans="1:5">
      <c r="A5" s="210">
        <v>2017</v>
      </c>
      <c r="B5" s="210">
        <v>0.70367000000000002</v>
      </c>
      <c r="C5" s="210">
        <v>3.8383599999999998</v>
      </c>
      <c r="D5" s="210">
        <v>0.16781000000000001</v>
      </c>
      <c r="E5" s="210">
        <v>0.77419000000000004</v>
      </c>
    </row>
    <row r="6" spans="1:5">
      <c r="A6" s="210">
        <v>2018</v>
      </c>
      <c r="B6" s="210">
        <v>0.72478000000000009</v>
      </c>
      <c r="C6" s="210">
        <v>3.7473600000000005</v>
      </c>
      <c r="D6" s="210">
        <v>0.13312000000000002</v>
      </c>
      <c r="E6" s="210">
        <v>0.64524999999999999</v>
      </c>
    </row>
    <row r="7" spans="1:5">
      <c r="A7" s="210">
        <v>2019</v>
      </c>
      <c r="B7" s="210">
        <v>0.77406999999999992</v>
      </c>
      <c r="C7" s="210">
        <v>3.9997400000000001</v>
      </c>
      <c r="D7" s="210">
        <v>0.12768000000000002</v>
      </c>
      <c r="E7" s="210">
        <v>0.68264999999999998</v>
      </c>
    </row>
    <row r="8" spans="1:5">
      <c r="A8" s="210">
        <v>2020</v>
      </c>
      <c r="B8" s="210">
        <v>0.70013999999999998</v>
      </c>
      <c r="C8" s="210">
        <v>3.5416799999999999</v>
      </c>
      <c r="D8" s="210">
        <v>0.11401</v>
      </c>
      <c r="E8" s="210">
        <v>0.60585999999999995</v>
      </c>
    </row>
    <row r="9" spans="1:5">
      <c r="A9" s="210">
        <v>2021</v>
      </c>
      <c r="B9" s="210">
        <v>0.60363</v>
      </c>
      <c r="C9" s="210">
        <v>3.21414</v>
      </c>
      <c r="D9" s="210">
        <v>0.12018000000000001</v>
      </c>
      <c r="E9" s="210">
        <v>0.61419999999999997</v>
      </c>
    </row>
    <row r="10" spans="1:5">
      <c r="A10" s="210">
        <v>2022</v>
      </c>
      <c r="B10" s="210">
        <v>0.67949999999999999</v>
      </c>
      <c r="C10" s="210">
        <v>3.8042500000000001</v>
      </c>
      <c r="D10" s="210">
        <v>0.13447999999999999</v>
      </c>
      <c r="E10" s="210">
        <v>0.62597999999999998</v>
      </c>
    </row>
    <row r="11" spans="1:5">
      <c r="A11" s="210">
        <v>2023</v>
      </c>
      <c r="B11" s="210">
        <v>0.75582000000000005</v>
      </c>
      <c r="C11" s="210">
        <v>4.0163699999999993</v>
      </c>
      <c r="D11" s="210">
        <v>0.15711</v>
      </c>
      <c r="E11" s="210">
        <v>0.65534999999999999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7BEB-39AE-4F2B-B4F3-79539247E0D3}">
  <dimension ref="A1:M99"/>
  <sheetViews>
    <sheetView zoomScale="98" zoomScaleNormal="98" zoomScaleSheetLayoutView="70" workbookViewId="0">
      <selection activeCell="G12" sqref="G12"/>
    </sheetView>
  </sheetViews>
  <sheetFormatPr baseColWidth="10" defaultColWidth="9.109375" defaultRowHeight="14.4"/>
  <cols>
    <col min="1" max="1" width="11.33203125" style="78" customWidth="1"/>
    <col min="2" max="16384" width="9.109375" style="78"/>
  </cols>
  <sheetData>
    <row r="1" spans="1:13">
      <c r="A1" s="7" t="s">
        <v>421</v>
      </c>
      <c r="B1" s="7" t="s">
        <v>422</v>
      </c>
    </row>
    <row r="3" spans="1:13">
      <c r="A3" s="78" t="s">
        <v>7</v>
      </c>
      <c r="B3" s="6" t="s">
        <v>287</v>
      </c>
      <c r="C3" s="6" t="s">
        <v>286</v>
      </c>
      <c r="D3" s="6" t="s">
        <v>285</v>
      </c>
      <c r="E3" s="6" t="s">
        <v>284</v>
      </c>
      <c r="F3" s="6" t="s">
        <v>433</v>
      </c>
      <c r="G3" s="6"/>
      <c r="I3" s="6"/>
      <c r="J3" s="6"/>
      <c r="K3" s="6"/>
      <c r="L3" s="6"/>
      <c r="M3" s="6"/>
    </row>
    <row r="4" spans="1:13">
      <c r="A4" s="81">
        <v>1995</v>
      </c>
      <c r="B4" s="203">
        <v>4.4000000000000004</v>
      </c>
      <c r="C4" s="203">
        <v>0.4</v>
      </c>
      <c r="D4" s="203"/>
      <c r="E4" s="203"/>
      <c r="F4" s="202"/>
      <c r="G4" s="83"/>
      <c r="I4" s="81"/>
      <c r="J4" s="81"/>
      <c r="K4" s="81"/>
      <c r="L4" s="81"/>
      <c r="M4" s="81"/>
    </row>
    <row r="5" spans="1:13">
      <c r="A5" s="81">
        <v>1996</v>
      </c>
      <c r="B5" s="203">
        <v>4.3</v>
      </c>
      <c r="C5" s="203">
        <v>0.5</v>
      </c>
      <c r="D5" s="203"/>
      <c r="E5" s="203"/>
      <c r="F5" s="202"/>
      <c r="G5" s="83"/>
      <c r="I5" s="81"/>
      <c r="J5" s="81"/>
      <c r="K5" s="81"/>
      <c r="L5" s="81"/>
      <c r="M5" s="81"/>
    </row>
    <row r="6" spans="1:13">
      <c r="A6" s="81">
        <v>1997</v>
      </c>
      <c r="B6" s="203">
        <v>4.8</v>
      </c>
      <c r="C6" s="203">
        <v>0.6</v>
      </c>
      <c r="D6" s="203"/>
      <c r="E6" s="203"/>
      <c r="F6" s="202"/>
      <c r="G6" s="83"/>
      <c r="I6" s="81"/>
      <c r="J6" s="81"/>
      <c r="K6" s="81"/>
      <c r="L6" s="81"/>
      <c r="M6" s="81"/>
    </row>
    <row r="7" spans="1:13">
      <c r="A7" s="81">
        <v>1998</v>
      </c>
      <c r="B7" s="203">
        <v>4.8</v>
      </c>
      <c r="C7" s="203">
        <v>0.8</v>
      </c>
      <c r="D7" s="203"/>
      <c r="E7" s="203"/>
      <c r="F7" s="202"/>
      <c r="G7" s="83"/>
      <c r="I7" s="81"/>
      <c r="J7" s="81"/>
      <c r="K7" s="81"/>
      <c r="L7" s="81"/>
      <c r="M7" s="81"/>
    </row>
    <row r="8" spans="1:13">
      <c r="A8" s="81">
        <v>1999</v>
      </c>
      <c r="B8" s="203">
        <v>4.2</v>
      </c>
      <c r="C8" s="203">
        <v>0.8</v>
      </c>
      <c r="D8" s="203"/>
      <c r="E8" s="203"/>
      <c r="F8" s="202"/>
      <c r="G8" s="83"/>
      <c r="I8" s="81"/>
      <c r="J8" s="81"/>
      <c r="K8" s="81"/>
      <c r="L8" s="81"/>
      <c r="M8" s="81"/>
    </row>
    <row r="9" spans="1:13">
      <c r="A9" s="81">
        <v>2000</v>
      </c>
      <c r="B9" s="203">
        <v>4.8</v>
      </c>
      <c r="C9" s="203">
        <v>0.9</v>
      </c>
      <c r="D9" s="203"/>
      <c r="E9" s="203"/>
      <c r="F9" s="202"/>
      <c r="G9" s="83"/>
      <c r="I9" s="81"/>
      <c r="J9" s="81"/>
      <c r="K9" s="81"/>
      <c r="L9" s="81"/>
      <c r="M9" s="81"/>
    </row>
    <row r="10" spans="1:13">
      <c r="A10" s="81">
        <v>2001</v>
      </c>
      <c r="B10" s="203">
        <v>4.4000000000000004</v>
      </c>
      <c r="C10" s="203">
        <v>0.9</v>
      </c>
      <c r="D10" s="203"/>
      <c r="E10" s="203"/>
      <c r="F10" s="202"/>
      <c r="G10" s="83"/>
      <c r="I10" s="81"/>
      <c r="J10" s="81"/>
      <c r="K10" s="81"/>
      <c r="L10" s="81"/>
      <c r="M10" s="81"/>
    </row>
    <row r="11" spans="1:13">
      <c r="A11" s="81">
        <v>2002</v>
      </c>
      <c r="B11" s="203">
        <v>4.2</v>
      </c>
      <c r="C11" s="203">
        <v>0.8</v>
      </c>
      <c r="D11" s="203">
        <v>5.8</v>
      </c>
      <c r="E11" s="203"/>
      <c r="F11" s="202">
        <v>10.9</v>
      </c>
      <c r="G11" s="83"/>
      <c r="I11" s="81"/>
      <c r="J11" s="81"/>
      <c r="K11" s="81"/>
      <c r="L11" s="81"/>
      <c r="M11" s="81"/>
    </row>
    <row r="12" spans="1:13">
      <c r="A12" s="81">
        <v>2003</v>
      </c>
      <c r="B12" s="203">
        <v>4.0999999999999996</v>
      </c>
      <c r="C12" s="203">
        <v>0.7</v>
      </c>
      <c r="D12" s="203">
        <v>5.6</v>
      </c>
      <c r="E12" s="203"/>
      <c r="F12" s="202">
        <v>10.4</v>
      </c>
      <c r="G12" s="83"/>
      <c r="I12" s="81"/>
      <c r="J12" s="81"/>
      <c r="K12" s="81"/>
      <c r="L12" s="81"/>
      <c r="M12" s="81"/>
    </row>
    <row r="13" spans="1:13">
      <c r="A13" s="81">
        <v>2004</v>
      </c>
      <c r="B13" s="203">
        <v>3.9</v>
      </c>
      <c r="C13" s="203">
        <v>0.8</v>
      </c>
      <c r="D13" s="203">
        <v>5.7</v>
      </c>
      <c r="E13" s="203"/>
      <c r="F13" s="202">
        <v>10.5</v>
      </c>
      <c r="G13" s="83"/>
      <c r="I13" s="81"/>
      <c r="J13" s="81"/>
      <c r="K13" s="81"/>
      <c r="L13" s="81"/>
      <c r="M13" s="81"/>
    </row>
    <row r="14" spans="1:13">
      <c r="A14" s="81">
        <v>2005</v>
      </c>
      <c r="B14" s="203">
        <v>3.9</v>
      </c>
      <c r="C14" s="203">
        <v>0.7</v>
      </c>
      <c r="D14" s="203">
        <v>5.8</v>
      </c>
      <c r="E14" s="203"/>
      <c r="F14" s="202">
        <v>10.4</v>
      </c>
      <c r="G14" s="83"/>
      <c r="I14" s="81"/>
      <c r="J14" s="81"/>
      <c r="K14" s="81"/>
      <c r="L14" s="81"/>
      <c r="M14" s="81"/>
    </row>
    <row r="15" spans="1:13">
      <c r="A15" s="81">
        <v>2006</v>
      </c>
      <c r="B15" s="203">
        <v>4.4000000000000004</v>
      </c>
      <c r="C15" s="203">
        <v>1.1000000000000001</v>
      </c>
      <c r="D15" s="203">
        <v>5.5</v>
      </c>
      <c r="E15" s="203"/>
      <c r="F15" s="202">
        <v>11</v>
      </c>
      <c r="G15" s="83"/>
      <c r="I15" s="81"/>
      <c r="J15" s="81"/>
      <c r="K15" s="81"/>
      <c r="L15" s="81"/>
      <c r="M15" s="81"/>
    </row>
    <row r="16" spans="1:13">
      <c r="A16" s="81">
        <v>2007</v>
      </c>
      <c r="B16" s="203">
        <v>4.5999999999999996</v>
      </c>
      <c r="C16" s="203">
        <v>1.4</v>
      </c>
      <c r="D16" s="203">
        <v>5.3</v>
      </c>
      <c r="E16" s="203"/>
      <c r="F16" s="202">
        <v>11.3</v>
      </c>
      <c r="G16" s="83"/>
      <c r="I16" s="81"/>
      <c r="J16" s="81"/>
      <c r="K16" s="81"/>
      <c r="L16" s="81"/>
      <c r="M16" s="81"/>
    </row>
    <row r="17" spans="1:13">
      <c r="A17" s="81">
        <v>2008</v>
      </c>
      <c r="B17" s="203">
        <v>4.4000000000000004</v>
      </c>
      <c r="C17" s="203">
        <v>1.5</v>
      </c>
      <c r="D17" s="203">
        <v>5</v>
      </c>
      <c r="E17" s="203"/>
      <c r="F17" s="202">
        <v>10.9</v>
      </c>
      <c r="G17" s="83"/>
      <c r="I17" s="81"/>
      <c r="J17" s="81"/>
      <c r="K17" s="81"/>
      <c r="L17" s="81"/>
      <c r="M17" s="81"/>
    </row>
    <row r="18" spans="1:13">
      <c r="A18" s="81">
        <v>2009</v>
      </c>
      <c r="B18" s="203">
        <v>4.2</v>
      </c>
      <c r="C18" s="203">
        <v>1.1000000000000001</v>
      </c>
      <c r="D18" s="203">
        <v>4.9000000000000004</v>
      </c>
      <c r="E18" s="203"/>
      <c r="F18" s="202">
        <v>10.199999999999999</v>
      </c>
      <c r="G18" s="83"/>
      <c r="I18" s="81"/>
      <c r="J18" s="81"/>
      <c r="K18" s="81"/>
      <c r="L18" s="81"/>
      <c r="M18" s="81"/>
    </row>
    <row r="19" spans="1:13">
      <c r="A19" s="81">
        <v>2010</v>
      </c>
      <c r="B19" s="203">
        <v>4.3</v>
      </c>
      <c r="C19" s="203">
        <v>1.1000000000000001</v>
      </c>
      <c r="D19" s="203">
        <v>4.8</v>
      </c>
      <c r="E19" s="203"/>
      <c r="F19" s="202">
        <v>10.199999999999999</v>
      </c>
      <c r="G19" s="83"/>
      <c r="I19" s="81"/>
      <c r="J19" s="81"/>
      <c r="K19" s="81"/>
      <c r="L19" s="81"/>
      <c r="M19" s="81"/>
    </row>
    <row r="20" spans="1:13">
      <c r="A20" s="81">
        <v>2011</v>
      </c>
      <c r="B20" s="203">
        <v>4.5</v>
      </c>
      <c r="C20" s="203">
        <v>1.3</v>
      </c>
      <c r="D20" s="203">
        <v>4.7</v>
      </c>
      <c r="E20" s="203"/>
      <c r="F20" s="202">
        <v>10.5</v>
      </c>
      <c r="G20" s="83"/>
      <c r="I20" s="81"/>
      <c r="J20" s="81"/>
      <c r="K20" s="81"/>
      <c r="L20" s="81"/>
      <c r="M20" s="81"/>
    </row>
    <row r="21" spans="1:13">
      <c r="A21" s="81">
        <v>2012</v>
      </c>
      <c r="B21" s="203">
        <v>4.5</v>
      </c>
      <c r="C21" s="203">
        <v>1.5</v>
      </c>
      <c r="D21" s="203">
        <v>4.5</v>
      </c>
      <c r="E21" s="203"/>
      <c r="F21" s="202">
        <v>10.5</v>
      </c>
      <c r="G21" s="83"/>
      <c r="I21" s="81"/>
      <c r="J21" s="81"/>
      <c r="K21" s="81"/>
      <c r="L21" s="81"/>
      <c r="M21" s="81"/>
    </row>
    <row r="22" spans="1:13">
      <c r="A22" s="81">
        <v>2013</v>
      </c>
      <c r="B22" s="203">
        <v>3.8</v>
      </c>
      <c r="C22" s="203">
        <v>1.4</v>
      </c>
      <c r="D22" s="203">
        <v>4.2</v>
      </c>
      <c r="E22" s="203"/>
      <c r="F22" s="202">
        <v>9.5</v>
      </c>
      <c r="G22" s="83"/>
      <c r="I22" s="81"/>
      <c r="J22" s="81"/>
      <c r="K22" s="81"/>
      <c r="L22" s="81"/>
      <c r="M22" s="81"/>
    </row>
    <row r="23" spans="1:13">
      <c r="A23" s="81">
        <v>2014</v>
      </c>
      <c r="B23" s="203">
        <v>4.3</v>
      </c>
      <c r="C23" s="203">
        <v>1.4</v>
      </c>
      <c r="D23" s="203">
        <v>4.0999999999999996</v>
      </c>
      <c r="E23" s="203"/>
      <c r="F23" s="202">
        <v>9.8000000000000007</v>
      </c>
      <c r="G23" s="83"/>
      <c r="I23" s="81"/>
      <c r="J23" s="81"/>
      <c r="K23" s="81"/>
      <c r="L23" s="81"/>
      <c r="M23" s="81"/>
    </row>
    <row r="24" spans="1:13">
      <c r="A24" s="81">
        <v>2015</v>
      </c>
      <c r="B24" s="203">
        <v>4.4000000000000004</v>
      </c>
      <c r="C24" s="203">
        <v>1.1000000000000001</v>
      </c>
      <c r="D24" s="203">
        <v>4</v>
      </c>
      <c r="E24" s="203"/>
      <c r="F24" s="202">
        <v>9.6</v>
      </c>
      <c r="G24" s="83"/>
      <c r="I24" s="81"/>
      <c r="J24" s="81"/>
      <c r="K24" s="81"/>
      <c r="L24" s="81"/>
      <c r="M24" s="81"/>
    </row>
    <row r="25" spans="1:13">
      <c r="A25" s="81">
        <v>2016</v>
      </c>
      <c r="B25" s="203">
        <v>4.5</v>
      </c>
      <c r="C25" s="203">
        <v>1.2</v>
      </c>
      <c r="D25" s="203">
        <v>3.9</v>
      </c>
      <c r="E25" s="203"/>
      <c r="F25" s="202">
        <v>9.6</v>
      </c>
      <c r="G25" s="83"/>
      <c r="I25" s="81"/>
      <c r="J25" s="81"/>
      <c r="K25" s="81"/>
      <c r="L25" s="81"/>
      <c r="M25" s="81"/>
    </row>
    <row r="26" spans="1:13">
      <c r="A26" s="81">
        <v>2017</v>
      </c>
      <c r="B26" s="203">
        <v>4.7</v>
      </c>
      <c r="C26" s="203">
        <v>1.3</v>
      </c>
      <c r="D26" s="203">
        <v>3.7</v>
      </c>
      <c r="E26" s="203"/>
      <c r="F26" s="202">
        <v>9.6999999999999993</v>
      </c>
      <c r="G26" s="83"/>
      <c r="I26" s="81"/>
      <c r="J26" s="81"/>
      <c r="K26" s="81"/>
      <c r="L26" s="81"/>
      <c r="M26" s="81"/>
    </row>
    <row r="27" spans="1:13">
      <c r="A27" s="81">
        <v>2018</v>
      </c>
      <c r="B27" s="203">
        <v>4.5999999999999996</v>
      </c>
      <c r="C27" s="203">
        <v>1.5</v>
      </c>
      <c r="D27" s="203">
        <v>3.6</v>
      </c>
      <c r="E27" s="203"/>
      <c r="F27" s="202">
        <v>9.6999999999999993</v>
      </c>
      <c r="G27" s="83"/>
      <c r="I27" s="81"/>
      <c r="J27" s="81"/>
      <c r="K27" s="81"/>
      <c r="L27" s="81"/>
      <c r="M27" s="81"/>
    </row>
    <row r="28" spans="1:13">
      <c r="A28" s="81">
        <v>2019</v>
      </c>
      <c r="B28" s="204">
        <v>4.9000000000000004</v>
      </c>
      <c r="C28" s="204">
        <v>1.3</v>
      </c>
      <c r="D28" s="204">
        <v>3.5</v>
      </c>
      <c r="E28" s="204"/>
      <c r="F28" s="202">
        <v>9.6999999999999993</v>
      </c>
      <c r="G28" s="83"/>
      <c r="I28" s="81"/>
      <c r="J28" s="81"/>
      <c r="K28" s="81"/>
      <c r="L28" s="81"/>
      <c r="M28" s="81"/>
    </row>
    <row r="29" spans="1:13">
      <c r="A29" s="81">
        <v>2020</v>
      </c>
      <c r="B29" s="203">
        <v>4.3</v>
      </c>
      <c r="C29" s="203">
        <v>1.2</v>
      </c>
      <c r="D29" s="203">
        <v>3.3</v>
      </c>
      <c r="E29" s="203"/>
      <c r="F29" s="202">
        <v>8.8000000000000007</v>
      </c>
      <c r="G29" s="83"/>
      <c r="I29" s="81"/>
      <c r="J29" s="81"/>
      <c r="K29" s="81"/>
      <c r="L29" s="81"/>
      <c r="M29" s="81"/>
    </row>
    <row r="30" spans="1:13">
      <c r="A30" s="81">
        <v>2021</v>
      </c>
      <c r="B30" s="203">
        <v>4</v>
      </c>
      <c r="C30" s="203">
        <v>1.3</v>
      </c>
      <c r="D30" s="203">
        <v>3.2</v>
      </c>
      <c r="E30" s="203">
        <v>8.1</v>
      </c>
      <c r="F30" s="202">
        <v>8.6</v>
      </c>
      <c r="G30" s="83"/>
      <c r="I30" s="81"/>
      <c r="J30" s="81"/>
      <c r="K30" s="81"/>
      <c r="L30" s="81"/>
      <c r="M30" s="81"/>
    </row>
    <row r="31" spans="1:13">
      <c r="A31" s="81">
        <v>2022</v>
      </c>
      <c r="B31" s="203"/>
      <c r="C31" s="203">
        <v>1.3</v>
      </c>
      <c r="D31" s="203"/>
      <c r="E31" s="203">
        <v>8.1999999999999993</v>
      </c>
      <c r="F31" s="202"/>
      <c r="G31" s="83"/>
      <c r="I31" s="81"/>
      <c r="J31" s="81"/>
      <c r="K31" s="81"/>
      <c r="L31" s="81"/>
      <c r="M31" s="81"/>
    </row>
    <row r="72" spans="1:6">
      <c r="A72" s="81"/>
      <c r="B72" s="80"/>
      <c r="C72" s="80"/>
      <c r="D72" s="80"/>
      <c r="E72" s="80"/>
      <c r="F72" s="79"/>
    </row>
    <row r="73" spans="1:6">
      <c r="A73" s="81"/>
      <c r="B73" s="80"/>
      <c r="C73" s="80"/>
      <c r="D73" s="80"/>
      <c r="E73" s="80"/>
      <c r="F73" s="79"/>
    </row>
    <row r="74" spans="1:6">
      <c r="A74" s="81"/>
      <c r="B74" s="80"/>
      <c r="C74" s="80"/>
      <c r="D74" s="80"/>
      <c r="E74" s="80"/>
      <c r="F74" s="79"/>
    </row>
    <row r="75" spans="1:6">
      <c r="A75" s="81"/>
      <c r="B75" s="80"/>
      <c r="C75" s="80"/>
      <c r="D75" s="80"/>
      <c r="E75" s="80"/>
      <c r="F75" s="79"/>
    </row>
    <row r="76" spans="1:6">
      <c r="A76" s="81"/>
      <c r="B76" s="80"/>
      <c r="C76" s="80"/>
      <c r="D76" s="80"/>
      <c r="E76" s="80"/>
      <c r="F76" s="79"/>
    </row>
    <row r="77" spans="1:6">
      <c r="A77" s="81"/>
      <c r="B77" s="80"/>
      <c r="C77" s="80"/>
      <c r="D77" s="80"/>
      <c r="E77" s="80"/>
      <c r="F77" s="79"/>
    </row>
    <row r="78" spans="1:6">
      <c r="A78" s="81"/>
      <c r="B78" s="80"/>
      <c r="C78" s="80"/>
      <c r="D78" s="80"/>
      <c r="E78" s="80"/>
      <c r="F78" s="79"/>
    </row>
    <row r="79" spans="1:6">
      <c r="A79" s="81"/>
      <c r="B79" s="80"/>
      <c r="C79" s="80"/>
      <c r="D79" s="80"/>
      <c r="E79" s="80"/>
      <c r="F79" s="79"/>
    </row>
    <row r="80" spans="1:6">
      <c r="A80" s="81"/>
      <c r="B80" s="80"/>
      <c r="C80" s="80"/>
      <c r="D80" s="80"/>
      <c r="E80" s="80"/>
      <c r="F80" s="79"/>
    </row>
    <row r="81" spans="1:6">
      <c r="A81" s="81"/>
      <c r="B81" s="80"/>
      <c r="C81" s="80"/>
      <c r="D81" s="80"/>
      <c r="E81" s="80"/>
      <c r="F81" s="79"/>
    </row>
    <row r="82" spans="1:6">
      <c r="A82" s="81"/>
      <c r="B82" s="80"/>
      <c r="C82" s="80"/>
      <c r="D82" s="80"/>
      <c r="E82" s="80"/>
      <c r="F82" s="79"/>
    </row>
    <row r="83" spans="1:6">
      <c r="A83" s="81"/>
      <c r="B83" s="80"/>
      <c r="C83" s="80"/>
      <c r="D83" s="80"/>
      <c r="E83" s="80"/>
      <c r="F83" s="79"/>
    </row>
    <row r="84" spans="1:6">
      <c r="A84" s="81"/>
      <c r="B84" s="80"/>
      <c r="C84" s="80"/>
      <c r="D84" s="80"/>
      <c r="E84" s="80"/>
      <c r="F84" s="79"/>
    </row>
    <row r="85" spans="1:6">
      <c r="A85" s="81"/>
      <c r="B85" s="80"/>
      <c r="C85" s="80"/>
      <c r="D85" s="80"/>
      <c r="E85" s="80"/>
      <c r="F85" s="79"/>
    </row>
    <row r="86" spans="1:6">
      <c r="A86" s="81"/>
      <c r="B86" s="80"/>
      <c r="C86" s="80"/>
      <c r="D86" s="80"/>
      <c r="E86" s="80"/>
      <c r="F86" s="79"/>
    </row>
    <row r="87" spans="1:6">
      <c r="A87" s="81"/>
      <c r="B87" s="80"/>
      <c r="C87" s="80"/>
      <c r="D87" s="80"/>
      <c r="E87" s="80"/>
      <c r="F87" s="79"/>
    </row>
    <row r="88" spans="1:6">
      <c r="A88" s="81"/>
      <c r="B88" s="80"/>
      <c r="C88" s="80"/>
      <c r="D88" s="80"/>
      <c r="E88" s="80"/>
      <c r="F88" s="79"/>
    </row>
    <row r="89" spans="1:6">
      <c r="A89" s="81"/>
      <c r="B89" s="80"/>
      <c r="C89" s="80"/>
      <c r="D89" s="80"/>
      <c r="E89" s="80"/>
      <c r="F89" s="79"/>
    </row>
    <row r="90" spans="1:6">
      <c r="A90" s="81"/>
      <c r="B90" s="80"/>
      <c r="C90" s="80"/>
      <c r="D90" s="80"/>
      <c r="E90" s="80"/>
      <c r="F90" s="79"/>
    </row>
    <row r="91" spans="1:6">
      <c r="A91" s="81"/>
      <c r="B91" s="80"/>
      <c r="C91" s="80"/>
      <c r="D91" s="80"/>
      <c r="E91" s="80"/>
      <c r="F91" s="79"/>
    </row>
    <row r="92" spans="1:6">
      <c r="A92" s="81"/>
      <c r="B92" s="80"/>
      <c r="C92" s="80"/>
      <c r="D92" s="80"/>
      <c r="E92" s="80"/>
      <c r="F92" s="79"/>
    </row>
    <row r="93" spans="1:6">
      <c r="A93" s="81"/>
      <c r="B93" s="80"/>
      <c r="C93" s="80"/>
      <c r="D93" s="80"/>
      <c r="E93" s="80"/>
      <c r="F93" s="79"/>
    </row>
    <row r="94" spans="1:6">
      <c r="A94" s="81"/>
      <c r="B94" s="80"/>
      <c r="C94" s="80"/>
      <c r="D94" s="80"/>
      <c r="E94" s="80"/>
      <c r="F94" s="79"/>
    </row>
    <row r="95" spans="1:6">
      <c r="A95" s="81"/>
      <c r="B95" s="80"/>
      <c r="C95" s="80"/>
      <c r="D95" s="80"/>
      <c r="E95" s="80"/>
      <c r="F95" s="79"/>
    </row>
    <row r="96" spans="1:6">
      <c r="A96" s="81"/>
      <c r="B96" s="55"/>
      <c r="C96" s="55"/>
      <c r="D96" s="55"/>
      <c r="E96" s="55"/>
      <c r="F96" s="79"/>
    </row>
    <row r="97" spans="1:6">
      <c r="A97" s="81"/>
      <c r="B97" s="80"/>
      <c r="C97" s="80"/>
      <c r="D97" s="80"/>
      <c r="E97" s="80"/>
      <c r="F97" s="79"/>
    </row>
    <row r="98" spans="1:6">
      <c r="A98" s="81"/>
      <c r="B98" s="80"/>
      <c r="C98" s="80"/>
      <c r="D98" s="80"/>
      <c r="E98" s="80"/>
      <c r="F98" s="79"/>
    </row>
    <row r="99" spans="1:6">
      <c r="A99" s="81"/>
      <c r="B99" s="80"/>
      <c r="C99" s="80"/>
      <c r="D99" s="80"/>
      <c r="E99" s="80"/>
      <c r="F99" s="79"/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24E0-94C0-47C8-B6C5-7E7141A1CA99}">
  <dimension ref="A1:E364"/>
  <sheetViews>
    <sheetView workbookViewId="0">
      <selection activeCell="L8" sqref="L8"/>
    </sheetView>
  </sheetViews>
  <sheetFormatPr baseColWidth="10" defaultColWidth="11.44140625" defaultRowHeight="14.4"/>
  <cols>
    <col min="1" max="16384" width="11.44140625" style="6"/>
  </cols>
  <sheetData>
    <row r="1" spans="1:5">
      <c r="A1" s="7" t="s">
        <v>109</v>
      </c>
      <c r="B1" s="7" t="s">
        <v>115</v>
      </c>
    </row>
    <row r="5" spans="1:5">
      <c r="A5" s="6" t="s">
        <v>114</v>
      </c>
      <c r="B5" s="6" t="s">
        <v>113</v>
      </c>
      <c r="C5" s="6" t="s">
        <v>112</v>
      </c>
      <c r="D5" s="6" t="s">
        <v>111</v>
      </c>
      <c r="E5" s="6" t="s">
        <v>110</v>
      </c>
    </row>
    <row r="6" spans="1:5">
      <c r="A6" s="6">
        <v>60000</v>
      </c>
      <c r="B6" s="6">
        <v>2.5889700000000001E-4</v>
      </c>
      <c r="C6" s="6">
        <v>3.0240200000000001E-4</v>
      </c>
      <c r="D6" s="6">
        <v>0</v>
      </c>
      <c r="E6" s="6">
        <v>4.0800999999999999E-4</v>
      </c>
    </row>
    <row r="7" spans="1:5">
      <c r="A7" s="6">
        <v>120000</v>
      </c>
      <c r="B7" s="6">
        <v>4.2466639999999998E-3</v>
      </c>
      <c r="C7" s="6">
        <v>4.8106219999999996E-3</v>
      </c>
      <c r="D7" s="6">
        <v>3.882595E-3</v>
      </c>
      <c r="E7" s="6">
        <v>1.63204E-3</v>
      </c>
    </row>
    <row r="8" spans="1:5">
      <c r="A8" s="6">
        <v>180000</v>
      </c>
      <c r="B8" s="6">
        <v>8.5233570000000005E-3</v>
      </c>
      <c r="C8" s="6">
        <v>9.887468E-3</v>
      </c>
      <c r="D8" s="6">
        <v>8.7781990000000004E-3</v>
      </c>
      <c r="E8" s="6">
        <v>4.7329199999999999E-4</v>
      </c>
    </row>
    <row r="9" spans="1:5">
      <c r="A9" s="6">
        <v>240000</v>
      </c>
      <c r="B9" s="6">
        <v>0.18626477899999999</v>
      </c>
      <c r="C9" s="6">
        <v>0.23594127200000001</v>
      </c>
      <c r="D9" s="6">
        <v>0.11689482</v>
      </c>
      <c r="E9" s="6">
        <v>1.2647779E-2</v>
      </c>
    </row>
    <row r="10" spans="1:5">
      <c r="A10" s="6">
        <v>300000</v>
      </c>
      <c r="B10" s="6">
        <v>1.0983959329999999</v>
      </c>
      <c r="C10" s="6">
        <v>1.2528619169999999</v>
      </c>
      <c r="D10" s="6">
        <v>1.159944106</v>
      </c>
      <c r="E10" s="6">
        <v>0.13715451100000001</v>
      </c>
    </row>
    <row r="11" spans="1:5">
      <c r="A11" s="6">
        <v>360000</v>
      </c>
      <c r="B11" s="6">
        <v>4.5176954470000004</v>
      </c>
      <c r="C11" s="6">
        <v>5.3580448570000003</v>
      </c>
      <c r="D11" s="6">
        <v>3.7367300449999998</v>
      </c>
      <c r="E11" s="6">
        <v>0.98411414200000003</v>
      </c>
    </row>
    <row r="12" spans="1:5">
      <c r="A12" s="6">
        <v>420000</v>
      </c>
      <c r="B12" s="6">
        <v>10.27256012</v>
      </c>
      <c r="C12" s="6">
        <v>11.775874160000001</v>
      </c>
      <c r="D12" s="6">
        <v>9.6627492089999993</v>
      </c>
      <c r="E12" s="6">
        <v>2.7547152879999999</v>
      </c>
    </row>
    <row r="13" spans="1:5">
      <c r="A13" s="6">
        <v>480000</v>
      </c>
      <c r="B13" s="6">
        <v>15.179692770000001</v>
      </c>
      <c r="C13" s="6">
        <v>15.88441291</v>
      </c>
      <c r="D13" s="6">
        <v>16.56511296</v>
      </c>
      <c r="E13" s="6">
        <v>9.1153181169999993</v>
      </c>
    </row>
    <row r="14" spans="1:5">
      <c r="A14" s="6">
        <v>540000</v>
      </c>
      <c r="B14" s="6">
        <v>14.720809450000001</v>
      </c>
      <c r="C14" s="6">
        <v>13.12762974</v>
      </c>
      <c r="D14" s="6">
        <v>20.205044919999999</v>
      </c>
      <c r="E14" s="6">
        <v>15.334858880000001</v>
      </c>
    </row>
    <row r="15" spans="1:5">
      <c r="A15" s="6">
        <v>600000</v>
      </c>
      <c r="B15" s="6">
        <v>13.39860382</v>
      </c>
      <c r="C15" s="6">
        <v>11.07823464</v>
      </c>
      <c r="D15" s="6">
        <v>20.164778399999999</v>
      </c>
      <c r="E15" s="6">
        <v>16.14914516</v>
      </c>
    </row>
    <row r="16" spans="1:5">
      <c r="A16" s="6">
        <v>660000</v>
      </c>
      <c r="B16" s="6">
        <v>9.8489928530000004</v>
      </c>
      <c r="C16" s="6">
        <v>8.0115103459999997</v>
      </c>
      <c r="D16" s="6">
        <v>13.29460853</v>
      </c>
      <c r="E16" s="6">
        <v>14.93386958</v>
      </c>
    </row>
    <row r="17" spans="1:5">
      <c r="A17" s="6">
        <v>720000</v>
      </c>
      <c r="B17" s="6">
        <v>7.1577559170000002</v>
      </c>
      <c r="C17" s="6">
        <v>6.5020199390000002</v>
      </c>
      <c r="D17" s="6">
        <v>6.7841703720000002</v>
      </c>
      <c r="E17" s="6">
        <v>11.409086950000001</v>
      </c>
    </row>
    <row r="18" spans="1:5">
      <c r="A18" s="6">
        <v>780000</v>
      </c>
      <c r="B18" s="6">
        <v>5.1656812490000004</v>
      </c>
      <c r="C18" s="6">
        <v>5.292734931</v>
      </c>
      <c r="D18" s="6">
        <v>3.1578392000000002</v>
      </c>
      <c r="E18" s="6">
        <v>7.5036776569999999</v>
      </c>
    </row>
    <row r="19" spans="1:5">
      <c r="A19" s="6">
        <v>840000</v>
      </c>
      <c r="B19" s="6">
        <v>3.8387625089999999</v>
      </c>
      <c r="C19" s="6">
        <v>4.0929105750000003</v>
      </c>
      <c r="D19" s="6">
        <v>1.8491211030000001</v>
      </c>
      <c r="E19" s="6">
        <v>5.43515791</v>
      </c>
    </row>
    <row r="20" spans="1:5">
      <c r="A20" s="6">
        <v>900000</v>
      </c>
      <c r="B20" s="6">
        <v>2.999747985</v>
      </c>
      <c r="C20" s="6">
        <v>3.3239172309999998</v>
      </c>
      <c r="D20" s="6">
        <v>1.1133526469999999</v>
      </c>
      <c r="E20" s="6">
        <v>4.0458845180000003</v>
      </c>
    </row>
    <row r="21" spans="1:5">
      <c r="A21" s="6">
        <v>960000</v>
      </c>
      <c r="B21" s="6">
        <v>2.3329579319999998</v>
      </c>
      <c r="C21" s="6">
        <v>2.6876643819999999</v>
      </c>
      <c r="D21" s="6">
        <v>0.71471463000000002</v>
      </c>
      <c r="E21" s="6">
        <v>2.799992767</v>
      </c>
    </row>
    <row r="22" spans="1:5">
      <c r="A22" s="6">
        <v>1020000</v>
      </c>
      <c r="B22" s="6">
        <v>1.754510067</v>
      </c>
      <c r="C22" s="6">
        <v>2.0751557840000001</v>
      </c>
      <c r="D22" s="6">
        <v>0.42956264599999999</v>
      </c>
      <c r="E22" s="6">
        <v>1.967098668</v>
      </c>
    </row>
    <row r="23" spans="1:5">
      <c r="A23" s="6">
        <v>1080000</v>
      </c>
      <c r="B23" s="6">
        <v>1.4047842150000001</v>
      </c>
      <c r="C23" s="6">
        <v>1.690200835</v>
      </c>
      <c r="D23" s="6">
        <v>0.29947285000000001</v>
      </c>
      <c r="E23" s="6">
        <v>1.4814448039999999</v>
      </c>
    </row>
    <row r="24" spans="1:5">
      <c r="A24" s="6">
        <v>1140000</v>
      </c>
      <c r="B24" s="6">
        <v>1.0037841780000001</v>
      </c>
      <c r="C24" s="6">
        <v>1.2083605289999999</v>
      </c>
      <c r="D24" s="6">
        <v>0.18993647</v>
      </c>
      <c r="E24" s="6">
        <v>1.091561937</v>
      </c>
    </row>
    <row r="25" spans="1:5">
      <c r="A25" s="6">
        <v>1200000</v>
      </c>
      <c r="B25" s="6">
        <v>0.920251504</v>
      </c>
      <c r="C25" s="6">
        <v>1.13863855</v>
      </c>
      <c r="D25" s="6">
        <v>0.14665143899999999</v>
      </c>
      <c r="E25" s="6">
        <v>0.86927716399999999</v>
      </c>
    </row>
    <row r="26" spans="1:5">
      <c r="A26" s="6">
        <v>1260000</v>
      </c>
      <c r="B26" s="6">
        <v>0.67264252800000002</v>
      </c>
      <c r="C26" s="6">
        <v>0.79842675600000002</v>
      </c>
      <c r="D26" s="6">
        <v>0.109132611</v>
      </c>
      <c r="E26" s="6">
        <v>0.82253917300000001</v>
      </c>
    </row>
    <row r="27" spans="1:5">
      <c r="A27" s="6">
        <v>1320000</v>
      </c>
      <c r="B27" s="6">
        <v>0.58213958499999996</v>
      </c>
      <c r="C27" s="6">
        <v>0.69947586399999995</v>
      </c>
      <c r="D27" s="6">
        <v>7.2124018999999998E-2</v>
      </c>
      <c r="E27" s="6">
        <v>0.698185893</v>
      </c>
    </row>
    <row r="28" spans="1:5">
      <c r="A28" s="6">
        <v>1380000</v>
      </c>
      <c r="B28" s="6">
        <v>0.46171718699999997</v>
      </c>
      <c r="C28" s="6">
        <v>0.55330576399999998</v>
      </c>
      <c r="D28" s="6">
        <v>6.1988204999999998E-2</v>
      </c>
      <c r="E28" s="6">
        <v>0.55477438599999995</v>
      </c>
    </row>
    <row r="29" spans="1:5">
      <c r="A29" s="6">
        <v>1440000</v>
      </c>
      <c r="B29" s="6">
        <v>0.36118019800000001</v>
      </c>
      <c r="C29" s="6">
        <v>0.43784638599999998</v>
      </c>
      <c r="D29" s="6">
        <v>3.1910900999999998E-2</v>
      </c>
      <c r="E29" s="6">
        <v>0.43097098099999998</v>
      </c>
    </row>
    <row r="30" spans="1:5">
      <c r="A30" s="6">
        <v>1500000</v>
      </c>
      <c r="B30" s="6">
        <v>0.33182028099999999</v>
      </c>
      <c r="C30" s="6">
        <v>0.41140350399999998</v>
      </c>
      <c r="D30" s="6">
        <v>2.9711062999999999E-2</v>
      </c>
      <c r="E30" s="6">
        <v>0.34394453400000002</v>
      </c>
    </row>
    <row r="31" spans="1:5">
      <c r="A31" s="6">
        <v>1560000</v>
      </c>
      <c r="B31" s="6">
        <v>0.25557371400000001</v>
      </c>
      <c r="C31" s="6">
        <v>0.31689124200000002</v>
      </c>
      <c r="D31" s="6">
        <v>2.1259133999999999E-2</v>
      </c>
      <c r="E31" s="6">
        <v>0.26726277199999998</v>
      </c>
    </row>
    <row r="32" spans="1:5">
      <c r="A32" s="6">
        <v>1620000</v>
      </c>
      <c r="B32" s="6">
        <v>0.21432393799999999</v>
      </c>
      <c r="C32" s="6">
        <v>0.26848337300000003</v>
      </c>
      <c r="D32" s="6">
        <v>1.8746206000000001E-2</v>
      </c>
      <c r="E32" s="6">
        <v>0.20734687500000001</v>
      </c>
    </row>
    <row r="33" spans="1:5">
      <c r="A33" s="6">
        <v>1680000</v>
      </c>
      <c r="B33" s="6">
        <v>0.178055203</v>
      </c>
      <c r="C33" s="6">
        <v>0.224986506</v>
      </c>
      <c r="D33" s="6">
        <v>1.0479639000000001E-2</v>
      </c>
      <c r="E33" s="6">
        <v>0.169121032</v>
      </c>
    </row>
    <row r="34" spans="1:5">
      <c r="A34" s="6">
        <v>1740000</v>
      </c>
      <c r="B34" s="6">
        <v>0.13564156799999999</v>
      </c>
      <c r="C34" s="6">
        <v>0.17493133299999999</v>
      </c>
      <c r="D34" s="6">
        <v>8.4339700000000007E-3</v>
      </c>
      <c r="E34" s="6">
        <v>0.10827784999999999</v>
      </c>
    </row>
    <row r="35" spans="1:5">
      <c r="A35" s="6">
        <v>1800000</v>
      </c>
      <c r="B35" s="6">
        <v>0.135552383</v>
      </c>
      <c r="C35" s="6">
        <v>0.177336945</v>
      </c>
      <c r="D35" s="6">
        <v>6.2914989999999999E-3</v>
      </c>
      <c r="E35" s="6">
        <v>9.7295200999999998E-2</v>
      </c>
    </row>
    <row r="36" spans="1:5">
      <c r="A36" s="6">
        <v>1860000</v>
      </c>
      <c r="B36" s="6">
        <v>0.100825439</v>
      </c>
      <c r="C36" s="6">
        <v>0.129389754</v>
      </c>
      <c r="D36" s="6">
        <v>4.8088419999999998E-3</v>
      </c>
      <c r="E36" s="6">
        <v>8.6303697999999998E-2</v>
      </c>
    </row>
    <row r="37" spans="1:5">
      <c r="A37" s="6">
        <v>1920000</v>
      </c>
      <c r="B37" s="6">
        <v>8.9354312000000005E-2</v>
      </c>
      <c r="C37" s="6">
        <v>0.118008957</v>
      </c>
      <c r="D37" s="6">
        <v>5.0105260000000004E-3</v>
      </c>
      <c r="E37" s="6">
        <v>5.6583720999999997E-2</v>
      </c>
    </row>
    <row r="38" spans="1:5">
      <c r="A38" s="6">
        <v>1980000</v>
      </c>
      <c r="B38" s="6">
        <v>8.3317137999999999E-2</v>
      </c>
      <c r="C38" s="6">
        <v>0.112712599</v>
      </c>
      <c r="D38" s="6">
        <v>3.001419E-3</v>
      </c>
      <c r="E38" s="6">
        <v>4.0262872999999998E-2</v>
      </c>
    </row>
    <row r="39" spans="1:5">
      <c r="A39" s="6">
        <v>2040000</v>
      </c>
      <c r="B39" s="6">
        <v>5.7515801999999998E-2</v>
      </c>
      <c r="C39" s="6">
        <v>7.8204905000000005E-2</v>
      </c>
      <c r="D39" s="6">
        <v>1.8859969999999999E-3</v>
      </c>
      <c r="E39" s="6">
        <v>2.5848533999999999E-2</v>
      </c>
    </row>
    <row r="40" spans="1:5">
      <c r="A40" s="6">
        <v>2100000</v>
      </c>
      <c r="B40" s="6">
        <v>5.7603613999999997E-2</v>
      </c>
      <c r="C40" s="6">
        <v>7.8919161000000002E-2</v>
      </c>
      <c r="D40" s="6">
        <v>2.0750640000000002E-3</v>
      </c>
      <c r="E40" s="6">
        <v>2.2263471999999999E-2</v>
      </c>
    </row>
    <row r="41" spans="1:5">
      <c r="A41" s="6">
        <v>2160000</v>
      </c>
      <c r="B41" s="6">
        <v>4.5625135999999997E-2</v>
      </c>
      <c r="C41" s="6">
        <v>6.4551749000000005E-2</v>
      </c>
      <c r="D41" s="6">
        <v>9.4052899999999995E-4</v>
      </c>
      <c r="E41" s="6">
        <v>7.2229190000000004E-3</v>
      </c>
    </row>
    <row r="42" spans="1:5">
      <c r="A42" s="6">
        <v>2220000</v>
      </c>
      <c r="B42" s="6">
        <v>3.8229076000000001E-2</v>
      </c>
      <c r="C42" s="6">
        <v>5.4117118999999998E-2</v>
      </c>
      <c r="D42" s="6">
        <v>1.1705610000000001E-3</v>
      </c>
      <c r="E42" s="6">
        <v>5.3048230000000002E-3</v>
      </c>
    </row>
    <row r="43" spans="1:5">
      <c r="A43" s="6">
        <v>2280000</v>
      </c>
      <c r="B43" s="6">
        <v>3.3226313E-2</v>
      </c>
      <c r="C43" s="6">
        <v>4.6991901000000003E-2</v>
      </c>
      <c r="D43" s="47">
        <v>6.0011199999999998E-4</v>
      </c>
      <c r="E43" s="47">
        <v>5.4880609999999998E-3</v>
      </c>
    </row>
    <row r="44" spans="1:5">
      <c r="A44" s="6">
        <v>2340000</v>
      </c>
      <c r="B44" s="6">
        <v>2.7228385000000001E-2</v>
      </c>
      <c r="C44" s="6">
        <v>3.8747373000000002E-2</v>
      </c>
      <c r="D44" s="47">
        <v>2.4522600000000003E-4</v>
      </c>
      <c r="E44" s="47">
        <v>3.5333259999999998E-3</v>
      </c>
    </row>
    <row r="45" spans="1:5">
      <c r="A45" s="6">
        <v>2400000</v>
      </c>
      <c r="B45" s="6">
        <v>3.1104643000000001E-2</v>
      </c>
      <c r="C45" s="6">
        <v>4.4375194E-2</v>
      </c>
      <c r="D45" s="47">
        <v>4.8838500000000003E-4</v>
      </c>
      <c r="E45" s="47">
        <v>3.0923080000000002E-3</v>
      </c>
    </row>
    <row r="46" spans="1:5">
      <c r="D46" s="47"/>
      <c r="E46" s="47"/>
    </row>
    <row r="90" spans="4:5">
      <c r="D90" s="47"/>
    </row>
    <row r="91" spans="4:5">
      <c r="D91" s="47"/>
      <c r="E91" s="47"/>
    </row>
    <row r="92" spans="4:5">
      <c r="D92" s="47"/>
      <c r="E92" s="47"/>
    </row>
    <row r="93" spans="4:5">
      <c r="D93" s="47"/>
      <c r="E93" s="47"/>
    </row>
    <row r="94" spans="4:5">
      <c r="D94" s="47"/>
    </row>
    <row r="95" spans="4:5">
      <c r="D95" s="47"/>
      <c r="E95" s="47"/>
    </row>
    <row r="96" spans="4:5">
      <c r="D96" s="47"/>
      <c r="E96" s="47"/>
    </row>
    <row r="98" spans="4:5">
      <c r="D98" s="47"/>
      <c r="E98" s="47"/>
    </row>
    <row r="99" spans="4:5">
      <c r="D99" s="47"/>
      <c r="E99" s="47"/>
    </row>
    <row r="100" spans="4:5">
      <c r="D100" s="47"/>
      <c r="E100" s="47"/>
    </row>
    <row r="101" spans="4:5">
      <c r="D101" s="47"/>
    </row>
    <row r="102" spans="4:5">
      <c r="D102" s="47"/>
      <c r="E102" s="47"/>
    </row>
    <row r="103" spans="4:5">
      <c r="D103" s="47"/>
      <c r="E103" s="47"/>
    </row>
    <row r="104" spans="4:5">
      <c r="D104" s="47"/>
      <c r="E104" s="47"/>
    </row>
    <row r="105" spans="4:5">
      <c r="D105" s="47"/>
    </row>
    <row r="106" spans="4:5">
      <c r="E106" s="47"/>
    </row>
    <row r="107" spans="4:5">
      <c r="D107" s="47"/>
    </row>
    <row r="108" spans="4:5">
      <c r="D108" s="47"/>
      <c r="E108" s="47"/>
    </row>
    <row r="109" spans="4:5">
      <c r="D109" s="47"/>
      <c r="E109" s="47"/>
    </row>
    <row r="110" spans="4:5">
      <c r="E110" s="47"/>
    </row>
    <row r="111" spans="4:5">
      <c r="D111" s="47"/>
      <c r="E111" s="47"/>
    </row>
    <row r="112" spans="4:5">
      <c r="D112" s="47"/>
    </row>
    <row r="113" spans="4:5">
      <c r="D113" s="47"/>
    </row>
    <row r="115" spans="4:5">
      <c r="D115" s="47"/>
    </row>
    <row r="118" spans="4:5">
      <c r="D118" s="47"/>
    </row>
    <row r="119" spans="4:5">
      <c r="D119" s="47"/>
    </row>
    <row r="120" spans="4:5">
      <c r="D120" s="47"/>
      <c r="E120" s="47"/>
    </row>
    <row r="121" spans="4:5">
      <c r="D121" s="47"/>
      <c r="E121" s="47"/>
    </row>
    <row r="122" spans="4:5">
      <c r="E122" s="47"/>
    </row>
    <row r="123" spans="4:5">
      <c r="E123" s="47"/>
    </row>
    <row r="124" spans="4:5">
      <c r="E124" s="47"/>
    </row>
    <row r="125" spans="4:5">
      <c r="E125" s="47"/>
    </row>
    <row r="128" spans="4:5">
      <c r="E128" s="47"/>
    </row>
    <row r="131" spans="2:5">
      <c r="E131" s="47"/>
    </row>
    <row r="132" spans="2:5">
      <c r="D132" s="47"/>
      <c r="E132" s="47"/>
    </row>
    <row r="133" spans="2:5">
      <c r="E133" s="47"/>
    </row>
    <row r="136" spans="2:5">
      <c r="B136" s="47"/>
      <c r="C136" s="47"/>
      <c r="D136" s="47"/>
    </row>
    <row r="138" spans="2:5">
      <c r="D138" s="47"/>
    </row>
    <row r="141" spans="2:5">
      <c r="D141" s="47"/>
    </row>
    <row r="142" spans="2:5">
      <c r="D142" s="47"/>
      <c r="E142" s="47"/>
    </row>
    <row r="143" spans="2:5">
      <c r="D143" s="47"/>
    </row>
    <row r="144" spans="2:5">
      <c r="E144" s="47"/>
    </row>
    <row r="145" spans="2:5">
      <c r="E145" s="47"/>
    </row>
    <row r="146" spans="2:5">
      <c r="B146" s="47"/>
      <c r="C146" s="47"/>
    </row>
    <row r="147" spans="2:5">
      <c r="B147" s="47"/>
      <c r="E147" s="47"/>
    </row>
    <row r="149" spans="2:5">
      <c r="B149" s="47"/>
      <c r="C149" s="47"/>
    </row>
    <row r="154" spans="2:5">
      <c r="B154" s="47"/>
      <c r="C154" s="47"/>
      <c r="E154" s="47"/>
    </row>
    <row r="155" spans="2:5">
      <c r="E155" s="47"/>
    </row>
    <row r="156" spans="2:5">
      <c r="B156" s="47"/>
      <c r="C156" s="47"/>
      <c r="D156" s="47"/>
    </row>
    <row r="157" spans="2:5">
      <c r="B157" s="47"/>
      <c r="E157" s="47"/>
    </row>
    <row r="158" spans="2:5">
      <c r="E158" s="47"/>
    </row>
    <row r="159" spans="2:5">
      <c r="B159" s="47"/>
      <c r="C159" s="47"/>
    </row>
    <row r="160" spans="2:5">
      <c r="D160" s="47"/>
      <c r="E160" s="47"/>
    </row>
    <row r="165" spans="2:5">
      <c r="B165" s="47"/>
      <c r="C165" s="47"/>
    </row>
    <row r="166" spans="2:5">
      <c r="B166" s="47"/>
      <c r="C166" s="47"/>
    </row>
    <row r="167" spans="2:5">
      <c r="B167" s="47"/>
      <c r="C167" s="47"/>
      <c r="E167" s="47"/>
    </row>
    <row r="171" spans="2:5">
      <c r="B171" s="47"/>
      <c r="C171" s="47"/>
    </row>
    <row r="172" spans="2:5">
      <c r="E172" s="47"/>
    </row>
    <row r="173" spans="2:5">
      <c r="E173" s="47"/>
    </row>
    <row r="178" spans="2:5">
      <c r="B178" s="47"/>
      <c r="C178" s="47"/>
      <c r="E178" s="47"/>
    </row>
    <row r="180" spans="2:5">
      <c r="B180" s="47"/>
      <c r="C180" s="47"/>
    </row>
    <row r="181" spans="2:5">
      <c r="B181" s="47"/>
      <c r="C181" s="47"/>
    </row>
    <row r="182" spans="2:5">
      <c r="E182" s="47"/>
    </row>
    <row r="184" spans="2:5">
      <c r="B184" s="47"/>
      <c r="C184" s="47"/>
    </row>
    <row r="185" spans="2:5">
      <c r="B185" s="47"/>
      <c r="C185" s="47"/>
      <c r="D185" s="47"/>
    </row>
    <row r="186" spans="2:5">
      <c r="B186" s="47"/>
      <c r="C186" s="47"/>
      <c r="E186" s="47"/>
    </row>
    <row r="187" spans="2:5">
      <c r="B187" s="47"/>
      <c r="C187" s="47"/>
    </row>
    <row r="188" spans="2:5">
      <c r="D188" s="47"/>
      <c r="E188" s="47"/>
    </row>
    <row r="189" spans="2:5">
      <c r="B189" s="47"/>
      <c r="C189" s="47"/>
    </row>
    <row r="190" spans="2:5">
      <c r="B190" s="47"/>
      <c r="C190" s="47"/>
    </row>
    <row r="191" spans="2:5">
      <c r="B191" s="47"/>
      <c r="C191" s="47"/>
      <c r="D191" s="47"/>
    </row>
    <row r="194" spans="2:5">
      <c r="E194" s="47"/>
    </row>
    <row r="195" spans="2:5">
      <c r="E195" s="47"/>
    </row>
    <row r="196" spans="2:5">
      <c r="E196" s="47"/>
    </row>
    <row r="197" spans="2:5">
      <c r="B197" s="47"/>
      <c r="C197" s="47"/>
      <c r="E197" s="47"/>
    </row>
    <row r="198" spans="2:5">
      <c r="B198" s="47"/>
      <c r="C198" s="47"/>
    </row>
    <row r="200" spans="2:5">
      <c r="B200" s="47"/>
      <c r="C200" s="47"/>
    </row>
    <row r="201" spans="2:5">
      <c r="B201" s="47"/>
      <c r="C201" s="47"/>
    </row>
    <row r="202" spans="2:5">
      <c r="B202" s="47"/>
      <c r="C202" s="47"/>
    </row>
    <row r="203" spans="2:5">
      <c r="E203" s="47"/>
    </row>
    <row r="204" spans="2:5">
      <c r="B204" s="47"/>
      <c r="C204" s="47"/>
    </row>
    <row r="205" spans="2:5">
      <c r="B205" s="47"/>
      <c r="C205" s="47"/>
    </row>
    <row r="206" spans="2:5">
      <c r="B206" s="47"/>
      <c r="C206" s="47"/>
    </row>
    <row r="207" spans="2:5">
      <c r="B207" s="47"/>
      <c r="C207" s="47"/>
    </row>
    <row r="208" spans="2:5">
      <c r="B208" s="47"/>
      <c r="C208" s="47"/>
    </row>
    <row r="209" spans="2:5">
      <c r="B209" s="47"/>
      <c r="C209" s="47"/>
    </row>
    <row r="210" spans="2:5">
      <c r="B210" s="47"/>
      <c r="C210" s="47"/>
    </row>
    <row r="211" spans="2:5">
      <c r="B211" s="47"/>
      <c r="C211" s="47"/>
    </row>
    <row r="213" spans="2:5">
      <c r="B213" s="47"/>
      <c r="C213" s="47"/>
      <c r="D213" s="47"/>
    </row>
    <row r="214" spans="2:5">
      <c r="B214" s="47"/>
      <c r="C214" s="47"/>
    </row>
    <row r="215" spans="2:5">
      <c r="B215" s="47"/>
      <c r="C215" s="47"/>
    </row>
    <row r="216" spans="2:5">
      <c r="B216" s="47"/>
      <c r="C216" s="47"/>
    </row>
    <row r="217" spans="2:5">
      <c r="B217" s="47"/>
      <c r="C217" s="47"/>
    </row>
    <row r="218" spans="2:5">
      <c r="B218" s="47"/>
      <c r="C218" s="47"/>
    </row>
    <row r="219" spans="2:5">
      <c r="B219" s="47"/>
      <c r="C219" s="47"/>
    </row>
    <row r="221" spans="2:5">
      <c r="B221" s="47"/>
      <c r="E221" s="47"/>
    </row>
    <row r="222" spans="2:5">
      <c r="B222" s="47"/>
      <c r="C222" s="47"/>
    </row>
    <row r="224" spans="2:5">
      <c r="B224" s="47"/>
      <c r="C224" s="47"/>
      <c r="E224" s="47"/>
    </row>
    <row r="225" spans="2:5">
      <c r="B225" s="47"/>
      <c r="C225" s="47"/>
    </row>
    <row r="226" spans="2:5">
      <c r="B226" s="47"/>
      <c r="C226" s="47"/>
    </row>
    <row r="227" spans="2:5">
      <c r="B227" s="47"/>
      <c r="C227" s="47"/>
    </row>
    <row r="228" spans="2:5">
      <c r="B228" s="47"/>
      <c r="C228" s="47"/>
    </row>
    <row r="229" spans="2:5">
      <c r="B229" s="47"/>
      <c r="C229" s="47"/>
    </row>
    <row r="230" spans="2:5">
      <c r="B230" s="47"/>
      <c r="C230" s="47"/>
    </row>
    <row r="231" spans="2:5">
      <c r="B231" s="47"/>
      <c r="D231" s="47"/>
    </row>
    <row r="232" spans="2:5">
      <c r="B232" s="47"/>
      <c r="C232" s="47"/>
      <c r="E232" s="47"/>
    </row>
    <row r="233" spans="2:5">
      <c r="B233" s="47"/>
      <c r="C233" s="47"/>
    </row>
    <row r="234" spans="2:5">
      <c r="B234" s="47"/>
      <c r="C234" s="47"/>
    </row>
    <row r="235" spans="2:5">
      <c r="B235" s="47"/>
      <c r="C235" s="47"/>
    </row>
    <row r="236" spans="2:5">
      <c r="B236" s="47"/>
      <c r="C236" s="47"/>
    </row>
    <row r="237" spans="2:5">
      <c r="B237" s="47"/>
      <c r="C237" s="47"/>
    </row>
    <row r="238" spans="2:5">
      <c r="D238" s="47"/>
    </row>
    <row r="239" spans="2:5">
      <c r="B239" s="47"/>
      <c r="C239" s="47"/>
    </row>
    <row r="240" spans="2:5">
      <c r="B240" s="47"/>
      <c r="C240" s="47"/>
    </row>
    <row r="241" spans="2:5">
      <c r="B241" s="47"/>
      <c r="C241" s="47"/>
    </row>
    <row r="242" spans="2:5">
      <c r="B242" s="47"/>
      <c r="C242" s="47"/>
    </row>
    <row r="243" spans="2:5">
      <c r="B243" s="47"/>
      <c r="E243" s="47"/>
    </row>
    <row r="244" spans="2:5">
      <c r="B244" s="47"/>
      <c r="C244" s="47"/>
    </row>
    <row r="245" spans="2:5">
      <c r="B245" s="47"/>
      <c r="C245" s="47"/>
    </row>
    <row r="246" spans="2:5">
      <c r="B246" s="47"/>
      <c r="C246" s="47"/>
    </row>
    <row r="247" spans="2:5">
      <c r="B247" s="47"/>
      <c r="E247" s="47"/>
    </row>
    <row r="248" spans="2:5">
      <c r="B248" s="47"/>
      <c r="D248" s="47"/>
    </row>
    <row r="249" spans="2:5">
      <c r="B249" s="47"/>
      <c r="E249" s="47"/>
    </row>
    <row r="250" spans="2:5">
      <c r="B250" s="47"/>
      <c r="C250" s="47"/>
    </row>
    <row r="251" spans="2:5">
      <c r="B251" s="47"/>
      <c r="C251" s="47"/>
    </row>
    <row r="252" spans="2:5">
      <c r="B252" s="47"/>
      <c r="C252" s="47"/>
    </row>
    <row r="253" spans="2:5">
      <c r="B253" s="47"/>
      <c r="C253" s="47"/>
      <c r="D253" s="47"/>
    </row>
    <row r="254" spans="2:5">
      <c r="B254" s="47"/>
      <c r="C254" s="47"/>
    </row>
    <row r="255" spans="2:5">
      <c r="B255" s="47"/>
      <c r="C255" s="47"/>
    </row>
    <row r="256" spans="2:5">
      <c r="B256" s="47"/>
      <c r="C256" s="47"/>
    </row>
    <row r="257" spans="2:5">
      <c r="B257" s="47"/>
      <c r="C257" s="47"/>
    </row>
    <row r="258" spans="2:5">
      <c r="B258" s="47"/>
      <c r="C258" s="47"/>
    </row>
    <row r="259" spans="2:5">
      <c r="B259" s="47"/>
      <c r="C259" s="47"/>
    </row>
    <row r="260" spans="2:5">
      <c r="B260" s="47"/>
      <c r="C260" s="47"/>
    </row>
    <row r="261" spans="2:5">
      <c r="B261" s="47"/>
      <c r="C261" s="47"/>
    </row>
    <row r="262" spans="2:5">
      <c r="B262" s="47"/>
      <c r="C262" s="47"/>
    </row>
    <row r="263" spans="2:5">
      <c r="B263" s="47"/>
      <c r="E263" s="47"/>
    </row>
    <row r="264" spans="2:5">
      <c r="B264" s="47"/>
      <c r="C264" s="47"/>
    </row>
    <row r="265" spans="2:5">
      <c r="B265" s="47"/>
      <c r="C265" s="47"/>
      <c r="E265" s="47"/>
    </row>
    <row r="266" spans="2:5">
      <c r="B266" s="47"/>
      <c r="C266" s="47"/>
    </row>
    <row r="267" spans="2:5">
      <c r="B267" s="47"/>
      <c r="C267" s="47"/>
    </row>
    <row r="268" spans="2:5">
      <c r="B268" s="47"/>
      <c r="C268" s="47"/>
    </row>
    <row r="269" spans="2:5">
      <c r="B269" s="47"/>
      <c r="C269" s="47"/>
    </row>
    <row r="270" spans="2:5">
      <c r="B270" s="47"/>
      <c r="C270" s="47"/>
      <c r="E270" s="47"/>
    </row>
    <row r="271" spans="2:5">
      <c r="B271" s="47"/>
      <c r="C271" s="47"/>
    </row>
    <row r="272" spans="2:5">
      <c r="B272" s="47"/>
      <c r="C272" s="47"/>
    </row>
    <row r="273" spans="2:4">
      <c r="B273" s="47"/>
      <c r="C273" s="47"/>
    </row>
    <row r="275" spans="2:4">
      <c r="B275" s="47"/>
      <c r="C275" s="47"/>
    </row>
    <row r="277" spans="2:4">
      <c r="B277" s="47"/>
      <c r="C277" s="47"/>
    </row>
    <row r="278" spans="2:4">
      <c r="B278" s="47"/>
      <c r="D278" s="47"/>
    </row>
    <row r="279" spans="2:4">
      <c r="B279" s="47"/>
      <c r="C279" s="47"/>
    </row>
    <row r="280" spans="2:4">
      <c r="B280" s="47"/>
      <c r="D280" s="47"/>
    </row>
    <row r="281" spans="2:4">
      <c r="B281" s="47"/>
      <c r="C281" s="47"/>
    </row>
    <row r="282" spans="2:4">
      <c r="B282" s="47"/>
      <c r="C282" s="47"/>
    </row>
    <row r="283" spans="2:4">
      <c r="B283" s="47"/>
      <c r="C283" s="47"/>
    </row>
    <row r="284" spans="2:4">
      <c r="B284" s="47"/>
      <c r="C284" s="47"/>
    </row>
    <row r="285" spans="2:4">
      <c r="B285" s="47"/>
      <c r="C285" s="47"/>
    </row>
    <row r="286" spans="2:4">
      <c r="B286" s="47"/>
      <c r="C286" s="47"/>
    </row>
    <row r="287" spans="2:4">
      <c r="B287" s="47"/>
      <c r="C287" s="47"/>
    </row>
    <row r="288" spans="2:4">
      <c r="B288" s="47"/>
      <c r="C288" s="47"/>
    </row>
    <row r="289" spans="2:5">
      <c r="B289" s="47"/>
      <c r="C289" s="47"/>
    </row>
    <row r="290" spans="2:5">
      <c r="B290" s="47"/>
      <c r="C290" s="47"/>
    </row>
    <row r="292" spans="2:5">
      <c r="B292" s="47"/>
      <c r="C292" s="47"/>
    </row>
    <row r="293" spans="2:5">
      <c r="B293" s="47"/>
      <c r="E293" s="47"/>
    </row>
    <row r="294" spans="2:5">
      <c r="B294" s="47"/>
      <c r="C294" s="47"/>
    </row>
    <row r="295" spans="2:5">
      <c r="B295" s="47"/>
      <c r="C295" s="47"/>
    </row>
    <row r="296" spans="2:5">
      <c r="B296" s="47"/>
      <c r="C296" s="47"/>
    </row>
    <row r="297" spans="2:5">
      <c r="B297" s="47"/>
      <c r="C297" s="47"/>
    </row>
    <row r="298" spans="2:5">
      <c r="B298" s="47"/>
      <c r="C298" s="47"/>
    </row>
    <row r="299" spans="2:5">
      <c r="B299" s="47"/>
      <c r="C299" s="47"/>
    </row>
    <row r="300" spans="2:5">
      <c r="B300" s="47"/>
      <c r="C300" s="47"/>
    </row>
    <row r="301" spans="2:5">
      <c r="B301" s="47"/>
      <c r="C301" s="47"/>
    </row>
    <row r="302" spans="2:5">
      <c r="B302" s="47"/>
      <c r="C302" s="47"/>
    </row>
    <row r="303" spans="2:5">
      <c r="B303" s="47"/>
      <c r="C303" s="47"/>
    </row>
    <row r="304" spans="2:5">
      <c r="B304" s="47"/>
      <c r="E304" s="47"/>
    </row>
    <row r="305" spans="2:4">
      <c r="B305" s="47"/>
      <c r="C305" s="47"/>
    </row>
    <row r="306" spans="2:4">
      <c r="B306" s="47"/>
      <c r="C306" s="47"/>
    </row>
    <row r="307" spans="2:4">
      <c r="B307" s="47"/>
      <c r="C307" s="47"/>
    </row>
    <row r="308" spans="2:4">
      <c r="B308" s="47"/>
      <c r="C308" s="47"/>
    </row>
    <row r="309" spans="2:4">
      <c r="B309" s="47"/>
      <c r="C309" s="47"/>
    </row>
    <row r="310" spans="2:4">
      <c r="B310" s="47"/>
      <c r="C310" s="47"/>
    </row>
    <row r="311" spans="2:4">
      <c r="B311" s="47"/>
      <c r="C311" s="47"/>
    </row>
    <row r="312" spans="2:4">
      <c r="B312" s="47"/>
      <c r="C312" s="47"/>
    </row>
    <row r="313" spans="2:4">
      <c r="B313" s="47"/>
      <c r="C313" s="47"/>
    </row>
    <row r="314" spans="2:4">
      <c r="B314" s="47"/>
      <c r="C314" s="47"/>
    </row>
    <row r="315" spans="2:4">
      <c r="B315" s="47"/>
      <c r="C315" s="47"/>
    </row>
    <row r="316" spans="2:4">
      <c r="B316" s="47"/>
      <c r="D316" s="47"/>
    </row>
    <row r="317" spans="2:4">
      <c r="B317" s="47"/>
      <c r="C317" s="47"/>
    </row>
    <row r="318" spans="2:4">
      <c r="B318" s="47"/>
      <c r="C318" s="47"/>
    </row>
    <row r="319" spans="2:4">
      <c r="B319" s="47"/>
      <c r="C319" s="47"/>
    </row>
    <row r="320" spans="2:4">
      <c r="B320" s="47"/>
      <c r="C320" s="47"/>
    </row>
    <row r="321" spans="2:3">
      <c r="B321" s="47"/>
      <c r="C321" s="47"/>
    </row>
    <row r="322" spans="2:3">
      <c r="B322" s="47"/>
      <c r="C322" s="47"/>
    </row>
    <row r="323" spans="2:3">
      <c r="B323" s="47"/>
      <c r="C323" s="47"/>
    </row>
    <row r="324" spans="2:3">
      <c r="B324" s="47"/>
      <c r="C324" s="47"/>
    </row>
    <row r="325" spans="2:3">
      <c r="B325" s="47"/>
      <c r="C325" s="47"/>
    </row>
    <row r="326" spans="2:3">
      <c r="B326" s="47"/>
      <c r="C326" s="47"/>
    </row>
    <row r="327" spans="2:3">
      <c r="B327" s="47"/>
      <c r="C327" s="47"/>
    </row>
    <row r="328" spans="2:3">
      <c r="B328" s="47"/>
      <c r="C328" s="47"/>
    </row>
    <row r="329" spans="2:3">
      <c r="B329" s="47"/>
      <c r="C329" s="47"/>
    </row>
    <row r="330" spans="2:3">
      <c r="B330" s="47"/>
      <c r="C330" s="47"/>
    </row>
    <row r="331" spans="2:3">
      <c r="B331" s="47"/>
      <c r="C331" s="47"/>
    </row>
    <row r="332" spans="2:3">
      <c r="B332" s="47"/>
      <c r="C332" s="47"/>
    </row>
    <row r="333" spans="2:3">
      <c r="B333" s="47"/>
      <c r="C333" s="47"/>
    </row>
    <row r="334" spans="2:3">
      <c r="B334" s="47"/>
      <c r="C334" s="47"/>
    </row>
    <row r="335" spans="2:3">
      <c r="B335" s="47"/>
      <c r="C335" s="47"/>
    </row>
    <row r="336" spans="2:3">
      <c r="B336" s="47"/>
      <c r="C336" s="47"/>
    </row>
    <row r="337" spans="2:4">
      <c r="B337" s="47"/>
      <c r="C337" s="47"/>
    </row>
    <row r="338" spans="2:4">
      <c r="B338" s="47"/>
      <c r="C338" s="47"/>
    </row>
    <row r="339" spans="2:4">
      <c r="B339" s="47"/>
      <c r="C339" s="47"/>
    </row>
    <row r="340" spans="2:4">
      <c r="B340" s="47"/>
      <c r="C340" s="47"/>
    </row>
    <row r="341" spans="2:4">
      <c r="B341" s="47"/>
      <c r="C341" s="47"/>
    </row>
    <row r="342" spans="2:4">
      <c r="B342" s="47"/>
      <c r="C342" s="47"/>
    </row>
    <row r="343" spans="2:4">
      <c r="B343" s="47"/>
      <c r="C343" s="47"/>
    </row>
    <row r="344" spans="2:4">
      <c r="B344" s="47"/>
      <c r="C344" s="47"/>
      <c r="D344" s="47"/>
    </row>
    <row r="345" spans="2:4">
      <c r="B345" s="47"/>
      <c r="C345" s="47"/>
    </row>
    <row r="346" spans="2:4">
      <c r="B346" s="47"/>
      <c r="C346" s="47"/>
    </row>
    <row r="347" spans="2:4">
      <c r="B347" s="47"/>
      <c r="C347" s="47"/>
    </row>
    <row r="348" spans="2:4">
      <c r="B348" s="47"/>
      <c r="C348" s="47"/>
    </row>
    <row r="349" spans="2:4">
      <c r="B349" s="47"/>
      <c r="C349" s="47"/>
    </row>
    <row r="350" spans="2:4">
      <c r="B350" s="47"/>
      <c r="C350" s="47"/>
    </row>
    <row r="351" spans="2:4">
      <c r="B351" s="47"/>
      <c r="C351" s="47"/>
    </row>
    <row r="352" spans="2:4">
      <c r="B352" s="47"/>
      <c r="C352" s="47"/>
    </row>
    <row r="353" spans="2:5">
      <c r="B353" s="47"/>
      <c r="C353" s="47"/>
    </row>
    <row r="354" spans="2:5">
      <c r="B354" s="47"/>
      <c r="C354" s="47"/>
    </row>
    <row r="355" spans="2:5">
      <c r="B355" s="47"/>
      <c r="C355" s="47"/>
    </row>
    <row r="356" spans="2:5">
      <c r="B356" s="47"/>
      <c r="C356" s="47"/>
    </row>
    <row r="357" spans="2:5">
      <c r="B357" s="47"/>
      <c r="C357" s="47"/>
    </row>
    <row r="358" spans="2:5">
      <c r="B358" s="47"/>
      <c r="C358" s="47"/>
    </row>
    <row r="359" spans="2:5">
      <c r="B359" s="47"/>
      <c r="C359" s="47"/>
    </row>
    <row r="360" spans="2:5">
      <c r="B360" s="47"/>
      <c r="C360" s="47"/>
    </row>
    <row r="361" spans="2:5">
      <c r="B361" s="47"/>
      <c r="C361" s="47"/>
    </row>
    <row r="362" spans="2:5">
      <c r="B362" s="47"/>
      <c r="C362" s="47"/>
    </row>
    <row r="363" spans="2:5">
      <c r="B363" s="47"/>
      <c r="E363" s="47"/>
    </row>
    <row r="364" spans="2:5">
      <c r="B364" s="47"/>
      <c r="C364" s="47"/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789E-CDDA-4337-AE8E-195D5F0BFBC1}">
  <dimension ref="A1:C6"/>
  <sheetViews>
    <sheetView workbookViewId="0">
      <selection activeCell="D42" sqref="D42"/>
    </sheetView>
  </sheetViews>
  <sheetFormatPr baseColWidth="10" defaultColWidth="11.44140625" defaultRowHeight="14.4"/>
  <cols>
    <col min="1" max="1" width="38.5546875" style="6" customWidth="1"/>
    <col min="2" max="16384" width="11.44140625" style="6"/>
  </cols>
  <sheetData>
    <row r="1" spans="1:3">
      <c r="A1" s="7" t="s">
        <v>108</v>
      </c>
      <c r="B1" s="7" t="s">
        <v>107</v>
      </c>
    </row>
    <row r="3" spans="1:3" ht="28.8">
      <c r="A3" s="6" t="s">
        <v>118</v>
      </c>
      <c r="B3" s="45" t="s">
        <v>117</v>
      </c>
      <c r="C3" s="45" t="s">
        <v>116</v>
      </c>
    </row>
    <row r="4" spans="1:3">
      <c r="A4" s="6" t="s">
        <v>110</v>
      </c>
      <c r="B4" s="48">
        <v>1.2E-2</v>
      </c>
      <c r="C4" s="48">
        <v>2.4E-2</v>
      </c>
    </row>
    <row r="5" spans="1:3">
      <c r="A5" s="6" t="s">
        <v>111</v>
      </c>
      <c r="B5" s="48">
        <v>5.3999999999999999E-2</v>
      </c>
      <c r="C5" s="48">
        <v>0.16600000000000001</v>
      </c>
    </row>
    <row r="6" spans="1:3">
      <c r="A6" s="6" t="s">
        <v>112</v>
      </c>
      <c r="B6" s="48">
        <v>7.0999999999999994E-2</v>
      </c>
      <c r="C6" s="48">
        <v>0.81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2BC3-B327-407A-80F8-D655B7DEAEAB}">
  <dimension ref="A1:M79"/>
  <sheetViews>
    <sheetView zoomScale="110" zoomScaleNormal="110" workbookViewId="0">
      <selection activeCell="A32" sqref="A32"/>
    </sheetView>
  </sheetViews>
  <sheetFormatPr baseColWidth="10" defaultColWidth="11.44140625" defaultRowHeight="14.4"/>
  <cols>
    <col min="1" max="1" width="52.88671875" style="6" customWidth="1"/>
    <col min="2" max="6" width="11.44140625" style="6"/>
    <col min="7" max="7" width="33.5546875" style="6" customWidth="1"/>
    <col min="8" max="14" width="11.44140625" style="6"/>
    <col min="15" max="15" width="49" style="6" customWidth="1"/>
    <col min="16" max="16384" width="11.44140625" style="6"/>
  </cols>
  <sheetData>
    <row r="1" spans="1:13">
      <c r="A1" s="7" t="s">
        <v>158</v>
      </c>
      <c r="B1" s="7" t="s">
        <v>105</v>
      </c>
      <c r="G1" s="7"/>
      <c r="H1" s="7"/>
      <c r="I1" s="7"/>
      <c r="L1" s="7"/>
      <c r="M1" s="7"/>
    </row>
    <row r="2" spans="1:13">
      <c r="H2" s="56"/>
      <c r="I2" s="55"/>
    </row>
    <row r="3" spans="1:13">
      <c r="H3" s="56"/>
      <c r="I3" s="55"/>
    </row>
    <row r="4" spans="1:13">
      <c r="H4" s="56"/>
      <c r="I4" s="55"/>
    </row>
    <row r="5" spans="1:13" ht="28.8">
      <c r="A5" s="6" t="s">
        <v>157</v>
      </c>
      <c r="B5" s="45" t="s">
        <v>117</v>
      </c>
      <c r="C5" s="45" t="s">
        <v>116</v>
      </c>
      <c r="D5" s="6" t="s">
        <v>156</v>
      </c>
      <c r="H5" s="56"/>
      <c r="I5" s="55"/>
    </row>
    <row r="6" spans="1:13">
      <c r="A6" s="6" t="s">
        <v>155</v>
      </c>
      <c r="B6" s="54">
        <f>0.017*100</f>
        <v>1.7000000000000002</v>
      </c>
      <c r="C6" s="54">
        <f>0.001*100</f>
        <v>0.1</v>
      </c>
      <c r="D6" s="54">
        <f t="shared" ref="D6:D34" si="0">0.06*100</f>
        <v>6</v>
      </c>
      <c r="H6" s="56"/>
      <c r="I6" s="55"/>
    </row>
    <row r="7" spans="1:13">
      <c r="A7" s="6" t="s">
        <v>154</v>
      </c>
      <c r="B7" s="54">
        <f>0.375*100</f>
        <v>37.5</v>
      </c>
      <c r="C7" s="54">
        <f>0.039*100</f>
        <v>3.9</v>
      </c>
      <c r="D7" s="54">
        <f t="shared" si="0"/>
        <v>6</v>
      </c>
      <c r="H7" s="56"/>
      <c r="I7" s="55"/>
    </row>
    <row r="8" spans="1:13">
      <c r="A8" s="6" t="s">
        <v>153</v>
      </c>
      <c r="B8" s="54">
        <f>0.035*100</f>
        <v>3.5000000000000004</v>
      </c>
      <c r="C8" s="54">
        <f>0.052*100</f>
        <v>5.2</v>
      </c>
      <c r="D8" s="54">
        <f t="shared" si="0"/>
        <v>6</v>
      </c>
      <c r="H8" s="56"/>
      <c r="I8" s="55"/>
    </row>
    <row r="9" spans="1:13">
      <c r="A9" s="6" t="s">
        <v>152</v>
      </c>
      <c r="B9" s="54">
        <f>0.028*100</f>
        <v>2.8000000000000003</v>
      </c>
      <c r="C9" s="54">
        <f>0.046*100</f>
        <v>4.5999999999999996</v>
      </c>
      <c r="D9" s="54">
        <f t="shared" si="0"/>
        <v>6</v>
      </c>
      <c r="H9" s="56"/>
      <c r="I9" s="55"/>
    </row>
    <row r="10" spans="1:13">
      <c r="A10" s="6" t="s">
        <v>151</v>
      </c>
      <c r="B10" s="54">
        <f>0.029*100</f>
        <v>2.9000000000000004</v>
      </c>
      <c r="C10" s="54">
        <f>0.021*100</f>
        <v>2.1</v>
      </c>
      <c r="D10" s="54">
        <f t="shared" si="0"/>
        <v>6</v>
      </c>
      <c r="H10" s="56"/>
      <c r="I10" s="55"/>
    </row>
    <row r="11" spans="1:13">
      <c r="A11" s="6" t="s">
        <v>150</v>
      </c>
      <c r="B11" s="54">
        <f>0.176*100</f>
        <v>17.599999999999998</v>
      </c>
      <c r="C11" s="54">
        <f>0.139*100</f>
        <v>13.900000000000002</v>
      </c>
      <c r="D11" s="54">
        <f t="shared" si="0"/>
        <v>6</v>
      </c>
      <c r="H11" s="56"/>
      <c r="I11" s="55"/>
    </row>
    <row r="12" spans="1:13">
      <c r="A12" s="6" t="s">
        <v>149</v>
      </c>
      <c r="B12" s="54">
        <f>0.069*100</f>
        <v>6.9</v>
      </c>
      <c r="C12" s="54">
        <f>0.023*100</f>
        <v>2.2999999999999998</v>
      </c>
      <c r="D12" s="54">
        <f t="shared" si="0"/>
        <v>6</v>
      </c>
      <c r="H12" s="56"/>
      <c r="I12" s="55"/>
    </row>
    <row r="13" spans="1:13">
      <c r="A13" s="6" t="s">
        <v>148</v>
      </c>
      <c r="B13" s="54">
        <f>0.094*100</f>
        <v>9.4</v>
      </c>
      <c r="C13" s="54">
        <f>0.035*100</f>
        <v>3.5000000000000004</v>
      </c>
      <c r="D13" s="54">
        <f t="shared" si="0"/>
        <v>6</v>
      </c>
      <c r="H13" s="56"/>
      <c r="I13" s="55"/>
    </row>
    <row r="14" spans="1:13">
      <c r="A14" s="6" t="s">
        <v>147</v>
      </c>
      <c r="B14" s="54">
        <f>0.097*100</f>
        <v>9.7000000000000011</v>
      </c>
      <c r="C14" s="54">
        <f>0.005*100</f>
        <v>0.5</v>
      </c>
      <c r="D14" s="54">
        <f t="shared" si="0"/>
        <v>6</v>
      </c>
      <c r="H14" s="56"/>
      <c r="I14" s="55"/>
    </row>
    <row r="15" spans="1:13">
      <c r="A15" s="6" t="s">
        <v>146</v>
      </c>
      <c r="B15" s="54">
        <f>0.023*100</f>
        <v>2.2999999999999998</v>
      </c>
      <c r="C15" s="54">
        <f>0.003*100</f>
        <v>0.3</v>
      </c>
      <c r="D15" s="54">
        <f t="shared" si="0"/>
        <v>6</v>
      </c>
      <c r="H15" s="56"/>
      <c r="I15" s="55"/>
    </row>
    <row r="16" spans="1:13">
      <c r="A16" s="6" t="s">
        <v>145</v>
      </c>
      <c r="B16" s="54">
        <f>0.046*100</f>
        <v>4.5999999999999996</v>
      </c>
      <c r="C16" s="54">
        <f>0.014*100</f>
        <v>1.4000000000000001</v>
      </c>
      <c r="D16" s="54">
        <f t="shared" si="0"/>
        <v>6</v>
      </c>
      <c r="H16" s="56"/>
      <c r="I16" s="55"/>
    </row>
    <row r="17" spans="1:9">
      <c r="A17" s="6" t="s">
        <v>144</v>
      </c>
      <c r="B17" s="54">
        <f>0.242*100</f>
        <v>24.2</v>
      </c>
      <c r="C17" s="54">
        <f>0.038*100</f>
        <v>3.8</v>
      </c>
      <c r="D17" s="54">
        <f t="shared" si="0"/>
        <v>6</v>
      </c>
      <c r="H17" s="56"/>
      <c r="I17" s="55"/>
    </row>
    <row r="18" spans="1:9">
      <c r="A18" s="6" t="s">
        <v>143</v>
      </c>
      <c r="B18" s="54">
        <f>0.379*100</f>
        <v>37.9</v>
      </c>
      <c r="C18" s="54">
        <f>0.125*100</f>
        <v>12.5</v>
      </c>
      <c r="D18" s="54">
        <f t="shared" si="0"/>
        <v>6</v>
      </c>
      <c r="H18" s="56"/>
      <c r="I18" s="55"/>
    </row>
    <row r="19" spans="1:9">
      <c r="A19" s="6" t="s">
        <v>142</v>
      </c>
      <c r="B19" s="54">
        <f>0.016*100</f>
        <v>1.6</v>
      </c>
      <c r="C19" s="54">
        <f>0.017*100</f>
        <v>1.7000000000000002</v>
      </c>
      <c r="D19" s="54">
        <f t="shared" si="0"/>
        <v>6</v>
      </c>
      <c r="H19" s="56"/>
      <c r="I19" s="55"/>
    </row>
    <row r="20" spans="1:9">
      <c r="A20" s="6" t="s">
        <v>141</v>
      </c>
      <c r="B20" s="54">
        <f>0.112*100</f>
        <v>11.200000000000001</v>
      </c>
      <c r="C20" s="54">
        <f>0.042*100</f>
        <v>4.2</v>
      </c>
      <c r="D20" s="54">
        <f t="shared" si="0"/>
        <v>6</v>
      </c>
    </row>
    <row r="21" spans="1:9">
      <c r="A21" s="6" t="s">
        <v>140</v>
      </c>
      <c r="B21" s="54">
        <f>0.143*100</f>
        <v>14.299999999999999</v>
      </c>
      <c r="C21" s="54">
        <f>0.012*100</f>
        <v>1.2</v>
      </c>
      <c r="D21" s="54">
        <f t="shared" si="0"/>
        <v>6</v>
      </c>
    </row>
    <row r="22" spans="1:9">
      <c r="A22" s="6" t="s">
        <v>139</v>
      </c>
      <c r="B22" s="54">
        <f>0.084*100</f>
        <v>8.4</v>
      </c>
      <c r="C22" s="54">
        <f>0.002*100</f>
        <v>0.2</v>
      </c>
      <c r="D22" s="54">
        <f t="shared" si="0"/>
        <v>6</v>
      </c>
    </row>
    <row r="23" spans="1:9">
      <c r="A23" s="6" t="s">
        <v>138</v>
      </c>
      <c r="B23" s="54">
        <f>0.106*100</f>
        <v>10.6</v>
      </c>
      <c r="C23" s="54">
        <f>0.016*100</f>
        <v>1.6</v>
      </c>
      <c r="D23" s="54">
        <f t="shared" si="0"/>
        <v>6</v>
      </c>
    </row>
    <row r="24" spans="1:9">
      <c r="A24" s="6" t="s">
        <v>137</v>
      </c>
      <c r="B24" s="54">
        <f>0.079*100</f>
        <v>7.9</v>
      </c>
      <c r="C24" s="54">
        <f>0.014*100</f>
        <v>1.4000000000000001</v>
      </c>
      <c r="D24" s="54">
        <f t="shared" si="0"/>
        <v>6</v>
      </c>
    </row>
    <row r="25" spans="1:9">
      <c r="A25" s="6" t="s">
        <v>136</v>
      </c>
      <c r="B25" s="54">
        <f>0.096*100</f>
        <v>9.6</v>
      </c>
      <c r="C25" s="54">
        <f>0.005*100</f>
        <v>0.5</v>
      </c>
      <c r="D25" s="54">
        <f t="shared" si="0"/>
        <v>6</v>
      </c>
    </row>
    <row r="26" spans="1:9">
      <c r="A26" s="6" t="s">
        <v>135</v>
      </c>
      <c r="B26" s="54">
        <f>0.052*100</f>
        <v>5.2</v>
      </c>
      <c r="C26" s="54">
        <f>0.003*100</f>
        <v>0.3</v>
      </c>
      <c r="D26" s="54">
        <f t="shared" si="0"/>
        <v>6</v>
      </c>
    </row>
    <row r="27" spans="1:9">
      <c r="A27" s="6" t="s">
        <v>134</v>
      </c>
      <c r="B27" s="54">
        <f>0.039*100</f>
        <v>3.9</v>
      </c>
      <c r="C27" s="54">
        <f>0.051*100</f>
        <v>5.0999999999999996</v>
      </c>
      <c r="D27" s="54">
        <f t="shared" si="0"/>
        <v>6</v>
      </c>
    </row>
    <row r="28" spans="1:9">
      <c r="A28" s="6" t="s">
        <v>133</v>
      </c>
      <c r="B28" s="54">
        <f>0.084*100</f>
        <v>8.4</v>
      </c>
      <c r="C28" s="54">
        <f>0.176*100</f>
        <v>17.599999999999998</v>
      </c>
      <c r="D28" s="54">
        <f t="shared" si="0"/>
        <v>6</v>
      </c>
    </row>
    <row r="29" spans="1:9">
      <c r="A29" s="6" t="s">
        <v>132</v>
      </c>
      <c r="B29" s="54">
        <f>0.025*100</f>
        <v>2.5</v>
      </c>
      <c r="C29" s="54">
        <f>0.024*100</f>
        <v>2.4</v>
      </c>
      <c r="D29" s="54">
        <f t="shared" si="0"/>
        <v>6</v>
      </c>
    </row>
    <row r="30" spans="1:9">
      <c r="A30" s="6" t="s">
        <v>131</v>
      </c>
      <c r="B30" s="54">
        <f>0.117*100</f>
        <v>11.700000000000001</v>
      </c>
      <c r="C30" s="54">
        <f>0.027*100</f>
        <v>2.7</v>
      </c>
      <c r="D30" s="54">
        <f t="shared" si="0"/>
        <v>6</v>
      </c>
    </row>
    <row r="31" spans="1:9">
      <c r="A31" s="6" t="s">
        <v>130</v>
      </c>
      <c r="B31" s="54">
        <f>0.034*100</f>
        <v>3.4000000000000004</v>
      </c>
      <c r="C31" s="54">
        <f>0.006*100</f>
        <v>0.6</v>
      </c>
      <c r="D31" s="54">
        <f t="shared" si="0"/>
        <v>6</v>
      </c>
    </row>
    <row r="32" spans="1:9">
      <c r="A32" s="6" t="s">
        <v>129</v>
      </c>
      <c r="B32" s="54">
        <f>0.243*100</f>
        <v>24.3</v>
      </c>
      <c r="C32" s="54">
        <f>0.024*100</f>
        <v>2.4</v>
      </c>
      <c r="D32" s="54">
        <f t="shared" si="0"/>
        <v>6</v>
      </c>
    </row>
    <row r="33" spans="1:4">
      <c r="A33" s="6" t="s">
        <v>128</v>
      </c>
      <c r="B33" s="54">
        <f>0.164*100</f>
        <v>16.400000000000002</v>
      </c>
      <c r="C33" s="54">
        <f>0.002*12</f>
        <v>2.4E-2</v>
      </c>
      <c r="D33" s="54">
        <f t="shared" si="0"/>
        <v>6</v>
      </c>
    </row>
    <row r="34" spans="1:4">
      <c r="A34" s="6" t="s">
        <v>127</v>
      </c>
      <c r="B34" s="50"/>
      <c r="C34" s="50">
        <f>SUM(C35:C42)</f>
        <v>3.8</v>
      </c>
      <c r="D34" s="54">
        <f t="shared" si="0"/>
        <v>6</v>
      </c>
    </row>
    <row r="35" spans="1:4">
      <c r="A35" s="6" t="s">
        <v>126</v>
      </c>
      <c r="B35" s="53">
        <f>0.106*100</f>
        <v>10.6</v>
      </c>
      <c r="C35" s="53">
        <f>0.001*100</f>
        <v>0.1</v>
      </c>
      <c r="D35" s="50"/>
    </row>
    <row r="36" spans="1:4">
      <c r="A36" s="6" t="s">
        <v>125</v>
      </c>
      <c r="B36" s="53">
        <f>0.002*100</f>
        <v>0.2</v>
      </c>
      <c r="C36" s="53">
        <f>0.001*100</f>
        <v>0.1</v>
      </c>
      <c r="D36" s="50"/>
    </row>
    <row r="37" spans="1:4">
      <c r="A37" s="6" t="s">
        <v>124</v>
      </c>
      <c r="B37" s="53">
        <f>0.004*100</f>
        <v>0.4</v>
      </c>
      <c r="C37" s="53">
        <f>0.001*100</f>
        <v>0.1</v>
      </c>
      <c r="D37" s="50"/>
    </row>
    <row r="38" spans="1:4">
      <c r="A38" s="6" t="s">
        <v>123</v>
      </c>
      <c r="B38" s="53">
        <f>0.028*100</f>
        <v>2.8000000000000003</v>
      </c>
      <c r="C38" s="53">
        <f>0.003*100</f>
        <v>0.3</v>
      </c>
      <c r="D38" s="50"/>
    </row>
    <row r="39" spans="1:4">
      <c r="A39" s="6" t="s">
        <v>122</v>
      </c>
      <c r="B39" s="53">
        <f>0.014*100</f>
        <v>1.4000000000000001</v>
      </c>
      <c r="C39" s="53">
        <f>0.011*100</f>
        <v>1.0999999999999999</v>
      </c>
      <c r="D39" s="50"/>
    </row>
    <row r="40" spans="1:4">
      <c r="A40" s="6" t="s">
        <v>121</v>
      </c>
      <c r="B40" s="53">
        <f>0.004*100</f>
        <v>0.4</v>
      </c>
      <c r="C40" s="53">
        <f>0.001*100</f>
        <v>0.1</v>
      </c>
      <c r="D40" s="50"/>
    </row>
    <row r="41" spans="1:4">
      <c r="A41" s="6" t="s">
        <v>120</v>
      </c>
      <c r="B41" s="53">
        <f>0.05*100</f>
        <v>5</v>
      </c>
      <c r="C41" s="53">
        <f>0.008*100</f>
        <v>0.8</v>
      </c>
      <c r="D41" s="50"/>
    </row>
    <row r="42" spans="1:4">
      <c r="A42" s="6" t="s">
        <v>119</v>
      </c>
      <c r="B42" s="53">
        <f>0.011*100</f>
        <v>1.0999999999999999</v>
      </c>
      <c r="C42" s="53">
        <f>0.012*100</f>
        <v>1.2</v>
      </c>
      <c r="D42" s="50"/>
    </row>
    <row r="44" spans="1:4">
      <c r="B44" s="52"/>
    </row>
    <row r="46" spans="1:4">
      <c r="A46" s="51"/>
    </row>
    <row r="50" spans="1:4">
      <c r="A50" s="7"/>
      <c r="B50" s="46"/>
      <c r="C50" s="46"/>
    </row>
    <row r="51" spans="1:4">
      <c r="B51" s="50"/>
      <c r="C51" s="50"/>
      <c r="D51" s="49"/>
    </row>
    <row r="52" spans="1:4">
      <c r="B52" s="49"/>
      <c r="C52" s="49"/>
      <c r="D52" s="49"/>
    </row>
    <row r="53" spans="1:4">
      <c r="B53" s="49"/>
      <c r="C53" s="49"/>
      <c r="D53" s="49"/>
    </row>
    <row r="54" spans="1:4">
      <c r="B54" s="49"/>
      <c r="C54" s="49"/>
      <c r="D54" s="49"/>
    </row>
    <row r="55" spans="1:4">
      <c r="B55" s="49"/>
      <c r="C55" s="49"/>
      <c r="D55" s="49"/>
    </row>
    <row r="56" spans="1:4">
      <c r="B56" s="49"/>
      <c r="C56" s="49"/>
      <c r="D56" s="49"/>
    </row>
    <row r="57" spans="1:4">
      <c r="B57" s="49"/>
      <c r="C57" s="49"/>
      <c r="D57" s="49"/>
    </row>
    <row r="58" spans="1:4">
      <c r="B58" s="49"/>
      <c r="C58" s="49"/>
      <c r="D58" s="49"/>
    </row>
    <row r="59" spans="1:4">
      <c r="B59" s="49"/>
      <c r="C59" s="49"/>
      <c r="D59" s="49"/>
    </row>
    <row r="60" spans="1:4">
      <c r="B60" s="49"/>
      <c r="C60" s="49"/>
      <c r="D60" s="49"/>
    </row>
    <row r="61" spans="1:4">
      <c r="B61" s="49"/>
      <c r="C61" s="49"/>
      <c r="D61" s="49"/>
    </row>
    <row r="62" spans="1:4">
      <c r="B62" s="49"/>
      <c r="C62" s="49"/>
      <c r="D62" s="49"/>
    </row>
    <row r="63" spans="1:4">
      <c r="B63" s="49"/>
      <c r="C63" s="49"/>
      <c r="D63" s="49"/>
    </row>
    <row r="64" spans="1:4">
      <c r="B64" s="49"/>
      <c r="C64" s="49"/>
      <c r="D64" s="49"/>
    </row>
    <row r="65" spans="2:4">
      <c r="B65" s="49"/>
      <c r="C65" s="49"/>
      <c r="D65" s="49"/>
    </row>
    <row r="66" spans="2:4">
      <c r="B66" s="49"/>
      <c r="C66" s="49"/>
      <c r="D66" s="49"/>
    </row>
    <row r="67" spans="2:4">
      <c r="B67" s="49"/>
      <c r="C67" s="49"/>
      <c r="D67" s="49"/>
    </row>
    <row r="68" spans="2:4">
      <c r="B68" s="49"/>
      <c r="C68" s="49"/>
      <c r="D68" s="49"/>
    </row>
    <row r="69" spans="2:4">
      <c r="B69" s="49"/>
      <c r="C69" s="49"/>
      <c r="D69" s="49"/>
    </row>
    <row r="70" spans="2:4">
      <c r="B70" s="49"/>
      <c r="C70" s="49"/>
      <c r="D70" s="49"/>
    </row>
    <row r="71" spans="2:4">
      <c r="B71" s="49"/>
      <c r="C71" s="49"/>
      <c r="D71" s="49"/>
    </row>
    <row r="72" spans="2:4">
      <c r="B72" s="49"/>
      <c r="C72" s="49"/>
      <c r="D72" s="49"/>
    </row>
    <row r="73" spans="2:4">
      <c r="B73" s="49"/>
      <c r="C73" s="49"/>
      <c r="D73" s="49"/>
    </row>
    <row r="74" spans="2:4">
      <c r="B74" s="49"/>
      <c r="C74" s="49"/>
      <c r="D74" s="49"/>
    </row>
    <row r="75" spans="2:4">
      <c r="B75" s="49"/>
      <c r="C75" s="49"/>
      <c r="D75" s="49"/>
    </row>
    <row r="76" spans="2:4">
      <c r="B76" s="49"/>
      <c r="C76" s="49"/>
      <c r="D76" s="49"/>
    </row>
    <row r="77" spans="2:4">
      <c r="B77" s="49"/>
      <c r="C77" s="49"/>
      <c r="D77" s="49"/>
    </row>
    <row r="78" spans="2:4">
      <c r="B78" s="49"/>
      <c r="C78" s="49"/>
      <c r="D78" s="49"/>
    </row>
    <row r="79" spans="2:4">
      <c r="B79" s="49"/>
      <c r="C79" s="49"/>
      <c r="D79" s="49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EDF7-4B16-4EA9-8DC7-6CEADC651CBB}">
  <dimension ref="A1:E10"/>
  <sheetViews>
    <sheetView workbookViewId="0">
      <selection activeCell="F33" sqref="F33"/>
    </sheetView>
  </sheetViews>
  <sheetFormatPr baseColWidth="10" defaultColWidth="11.44140625" defaultRowHeight="14.4"/>
  <cols>
    <col min="1" max="1" width="33.109375" style="6" customWidth="1"/>
    <col min="2" max="3" width="11.44140625" style="6"/>
    <col min="4" max="5" width="0" style="6" hidden="1" customWidth="1"/>
    <col min="6" max="16384" width="11.44140625" style="6"/>
  </cols>
  <sheetData>
    <row r="1" spans="1:5" ht="22.5" customHeight="1">
      <c r="A1" s="7" t="s">
        <v>104</v>
      </c>
      <c r="B1" s="7" t="s">
        <v>103</v>
      </c>
      <c r="D1" s="46" t="s">
        <v>168</v>
      </c>
      <c r="E1" s="46" t="s">
        <v>167</v>
      </c>
    </row>
    <row r="2" spans="1:5">
      <c r="D2" s="58">
        <v>1190</v>
      </c>
      <c r="E2" s="58">
        <v>850</v>
      </c>
    </row>
    <row r="3" spans="1:5" ht="28.8">
      <c r="A3" s="6" t="s">
        <v>166</v>
      </c>
      <c r="B3" s="45" t="s">
        <v>117</v>
      </c>
      <c r="C3" s="45" t="s">
        <v>116</v>
      </c>
      <c r="D3" s="58">
        <v>8520</v>
      </c>
      <c r="E3" s="58">
        <v>5330</v>
      </c>
    </row>
    <row r="4" spans="1:5">
      <c r="A4" s="6" t="s">
        <v>165</v>
      </c>
      <c r="B4" s="57">
        <v>5.8999999999999997E-2</v>
      </c>
      <c r="C4" s="57">
        <v>7.0000000000000001E-3</v>
      </c>
      <c r="D4" s="58">
        <v>16750</v>
      </c>
      <c r="E4" s="58">
        <v>10100</v>
      </c>
    </row>
    <row r="5" spans="1:5">
      <c r="A5" s="6" t="s">
        <v>164</v>
      </c>
      <c r="B5" s="57">
        <v>7.6999999999999999E-2</v>
      </c>
      <c r="C5" s="57">
        <v>4.3999999999999997E-2</v>
      </c>
      <c r="D5" s="58">
        <v>27320</v>
      </c>
      <c r="E5" s="58">
        <v>15880</v>
      </c>
    </row>
    <row r="6" spans="1:5">
      <c r="A6" s="6" t="s">
        <v>163</v>
      </c>
      <c r="B6" s="57">
        <v>6.6000000000000003E-2</v>
      </c>
      <c r="C6" s="57">
        <v>8.4000000000000005E-2</v>
      </c>
      <c r="D6" s="58">
        <v>47070</v>
      </c>
      <c r="E6" s="58">
        <v>27830</v>
      </c>
    </row>
    <row r="7" spans="1:5">
      <c r="A7" s="6" t="s">
        <v>162</v>
      </c>
      <c r="B7" s="57">
        <v>6.0999999999999999E-2</v>
      </c>
      <c r="C7" s="57">
        <v>0.13200000000000001</v>
      </c>
      <c r="D7" s="58">
        <v>54510</v>
      </c>
      <c r="E7" s="58">
        <v>31560</v>
      </c>
    </row>
    <row r="8" spans="1:5">
      <c r="A8" s="6" t="s">
        <v>161</v>
      </c>
      <c r="B8" s="57">
        <v>6.4000000000000001E-2</v>
      </c>
      <c r="C8" s="57">
        <v>0.23200000000000001</v>
      </c>
      <c r="D8" s="58">
        <v>48700</v>
      </c>
      <c r="E8" s="58">
        <v>28540</v>
      </c>
    </row>
    <row r="9" spans="1:5">
      <c r="A9" s="6" t="s">
        <v>160</v>
      </c>
      <c r="B9" s="57">
        <v>5.8999999999999997E-2</v>
      </c>
      <c r="C9" s="57">
        <v>0.26300000000000001</v>
      </c>
    </row>
    <row r="10" spans="1:5">
      <c r="A10" s="6" t="s">
        <v>159</v>
      </c>
      <c r="B10" s="57">
        <v>5.3999999999999999E-2</v>
      </c>
      <c r="C10" s="57">
        <v>0.23799999999999999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C530-4488-4B86-874D-DB2AEB7D85BA}">
  <dimension ref="A1:C60"/>
  <sheetViews>
    <sheetView workbookViewId="0">
      <selection activeCell="G43" sqref="G43"/>
    </sheetView>
  </sheetViews>
  <sheetFormatPr baseColWidth="10" defaultColWidth="11.44140625" defaultRowHeight="14.4"/>
  <cols>
    <col min="1" max="1" width="20.5546875" style="6" customWidth="1"/>
    <col min="2" max="16384" width="11.44140625" style="6"/>
  </cols>
  <sheetData>
    <row r="1" spans="1:3">
      <c r="A1" s="7" t="s">
        <v>102</v>
      </c>
      <c r="B1" s="7" t="s">
        <v>101</v>
      </c>
    </row>
    <row r="2" spans="1:3">
      <c r="B2" s="6" t="s">
        <v>188</v>
      </c>
      <c r="C2" s="6" t="s">
        <v>190</v>
      </c>
    </row>
    <row r="3" spans="1:3">
      <c r="A3" s="6" t="s">
        <v>186</v>
      </c>
      <c r="B3" s="6">
        <v>22.05</v>
      </c>
      <c r="C3" s="6">
        <v>81.3</v>
      </c>
    </row>
    <row r="4" spans="1:3">
      <c r="A4" s="6" t="s">
        <v>185</v>
      </c>
      <c r="B4" s="6">
        <v>0.42</v>
      </c>
      <c r="C4" s="6">
        <v>94.1</v>
      </c>
    </row>
    <row r="5" spans="1:3">
      <c r="A5" s="6" t="s">
        <v>184</v>
      </c>
      <c r="B5" s="6">
        <v>46.64</v>
      </c>
      <c r="C5" s="6">
        <v>92.3</v>
      </c>
    </row>
    <row r="6" spans="1:3">
      <c r="A6" s="6" t="s">
        <v>183</v>
      </c>
      <c r="B6" s="6">
        <v>6.29</v>
      </c>
      <c r="C6" s="6">
        <v>80.7</v>
      </c>
    </row>
    <row r="7" spans="1:3">
      <c r="A7" s="6" t="s">
        <v>182</v>
      </c>
      <c r="B7" s="6">
        <v>2.48</v>
      </c>
      <c r="C7" s="6">
        <v>86.5</v>
      </c>
    </row>
    <row r="8" spans="1:3">
      <c r="A8" s="6" t="s">
        <v>181</v>
      </c>
      <c r="B8" s="6">
        <v>3.61</v>
      </c>
      <c r="C8" s="6">
        <v>69.400000000000006</v>
      </c>
    </row>
    <row r="9" spans="1:3">
      <c r="A9" s="6" t="s">
        <v>180</v>
      </c>
      <c r="B9" s="6">
        <v>1.9</v>
      </c>
      <c r="C9" s="6">
        <v>80.099999999999994</v>
      </c>
    </row>
    <row r="10" spans="1:3">
      <c r="A10" s="6" t="s">
        <v>179</v>
      </c>
      <c r="B10" s="6">
        <v>24.73</v>
      </c>
      <c r="C10" s="6">
        <v>88.2</v>
      </c>
    </row>
    <row r="11" spans="1:3">
      <c r="A11" s="6" t="s">
        <v>178</v>
      </c>
      <c r="B11" s="6">
        <v>44.02</v>
      </c>
      <c r="C11" s="6">
        <v>87.8</v>
      </c>
    </row>
    <row r="12" spans="1:3">
      <c r="A12" s="6" t="s">
        <v>177</v>
      </c>
      <c r="B12" s="6">
        <v>13.48</v>
      </c>
      <c r="C12" s="6">
        <v>92.6</v>
      </c>
    </row>
    <row r="13" spans="1:3">
      <c r="A13" s="6" t="s">
        <v>176</v>
      </c>
      <c r="B13" s="6">
        <v>34.06</v>
      </c>
      <c r="C13" s="6">
        <v>88.9</v>
      </c>
    </row>
    <row r="14" spans="1:3">
      <c r="A14" s="6" t="s">
        <v>175</v>
      </c>
      <c r="B14" s="6">
        <v>3.87</v>
      </c>
      <c r="C14" s="6">
        <v>76.5</v>
      </c>
    </row>
    <row r="15" spans="1:3">
      <c r="A15" s="6" t="s">
        <v>174</v>
      </c>
      <c r="B15" s="6">
        <v>6.47</v>
      </c>
      <c r="C15" s="6">
        <v>87.9</v>
      </c>
    </row>
    <row r="16" spans="1:3">
      <c r="A16" s="6" t="s">
        <v>173</v>
      </c>
      <c r="B16" s="6">
        <v>28.84</v>
      </c>
      <c r="C16" s="6">
        <v>103.8</v>
      </c>
    </row>
    <row r="17" spans="1:3">
      <c r="A17" s="6" t="s">
        <v>172</v>
      </c>
      <c r="B17" s="6">
        <v>8.93</v>
      </c>
      <c r="C17" s="6">
        <v>82.9</v>
      </c>
    </row>
    <row r="18" spans="1:3">
      <c r="A18" s="6" t="s">
        <v>171</v>
      </c>
      <c r="B18" s="6">
        <v>13.73</v>
      </c>
      <c r="C18" s="6">
        <v>96.2</v>
      </c>
    </row>
    <row r="19" spans="1:3">
      <c r="A19" s="6" t="s">
        <v>170</v>
      </c>
      <c r="B19" s="6">
        <v>2.87</v>
      </c>
      <c r="C19" s="6">
        <v>89</v>
      </c>
    </row>
    <row r="20" spans="1:3">
      <c r="A20" s="6" t="s">
        <v>169</v>
      </c>
      <c r="B20" s="6">
        <v>3.6</v>
      </c>
      <c r="C20" s="6">
        <v>102.8</v>
      </c>
    </row>
    <row r="22" spans="1:3">
      <c r="B22" s="6" t="s">
        <v>188</v>
      </c>
      <c r="C22" s="6" t="s">
        <v>189</v>
      </c>
    </row>
    <row r="23" spans="1:3">
      <c r="A23" s="6" t="s">
        <v>186</v>
      </c>
      <c r="B23" s="6">
        <v>22.05</v>
      </c>
      <c r="C23" s="6">
        <v>817</v>
      </c>
    </row>
    <row r="24" spans="1:3">
      <c r="A24" s="6" t="s">
        <v>185</v>
      </c>
      <c r="B24" s="6">
        <v>0.42</v>
      </c>
      <c r="C24" s="6">
        <v>1314</v>
      </c>
    </row>
    <row r="25" spans="1:3">
      <c r="A25" s="6" t="s">
        <v>184</v>
      </c>
      <c r="B25" s="6">
        <v>46.64</v>
      </c>
      <c r="C25" s="6">
        <v>571</v>
      </c>
    </row>
    <row r="26" spans="1:3">
      <c r="A26" s="6" t="s">
        <v>183</v>
      </c>
      <c r="B26" s="6">
        <v>6.29</v>
      </c>
      <c r="C26" s="6">
        <v>943</v>
      </c>
    </row>
    <row r="27" spans="1:3">
      <c r="A27" s="6" t="s">
        <v>182</v>
      </c>
      <c r="B27" s="6">
        <v>2.48</v>
      </c>
      <c r="C27" s="6">
        <v>1260</v>
      </c>
    </row>
    <row r="28" spans="1:3">
      <c r="A28" s="6" t="s">
        <v>181</v>
      </c>
      <c r="B28" s="6">
        <v>3.61</v>
      </c>
      <c r="C28" s="6">
        <v>1346</v>
      </c>
    </row>
    <row r="29" spans="1:3">
      <c r="A29" s="6" t="s">
        <v>180</v>
      </c>
      <c r="B29" s="6">
        <v>1.9</v>
      </c>
      <c r="C29" s="6">
        <v>1364</v>
      </c>
    </row>
    <row r="30" spans="1:3">
      <c r="A30" s="6" t="s">
        <v>179</v>
      </c>
      <c r="B30" s="6">
        <v>24.73</v>
      </c>
      <c r="C30" s="6">
        <v>687</v>
      </c>
    </row>
    <row r="31" spans="1:3">
      <c r="A31" s="6" t="s">
        <v>178</v>
      </c>
      <c r="B31" s="6">
        <v>44.02</v>
      </c>
      <c r="C31" s="6">
        <v>662</v>
      </c>
    </row>
    <row r="32" spans="1:3">
      <c r="A32" s="6" t="s">
        <v>177</v>
      </c>
      <c r="B32" s="6">
        <v>13.48</v>
      </c>
      <c r="C32" s="6">
        <v>742</v>
      </c>
    </row>
    <row r="33" spans="1:3">
      <c r="A33" s="6" t="s">
        <v>176</v>
      </c>
      <c r="B33" s="6">
        <v>34.06</v>
      </c>
      <c r="C33" s="6">
        <v>625</v>
      </c>
    </row>
    <row r="34" spans="1:3">
      <c r="A34" s="6" t="s">
        <v>175</v>
      </c>
      <c r="B34" s="6">
        <v>3.87</v>
      </c>
      <c r="C34" s="6">
        <v>1163</v>
      </c>
    </row>
    <row r="35" spans="1:3">
      <c r="A35" s="6" t="s">
        <v>174</v>
      </c>
      <c r="B35" s="6">
        <v>6.47</v>
      </c>
      <c r="C35" s="6">
        <v>932</v>
      </c>
    </row>
    <row r="36" spans="1:3">
      <c r="A36" s="6" t="s">
        <v>173</v>
      </c>
      <c r="B36" s="6">
        <v>28.84</v>
      </c>
      <c r="C36" s="6">
        <v>572</v>
      </c>
    </row>
    <row r="37" spans="1:3">
      <c r="A37" s="6" t="s">
        <v>172</v>
      </c>
      <c r="B37" s="6">
        <v>8.93</v>
      </c>
      <c r="C37" s="6">
        <v>886</v>
      </c>
    </row>
    <row r="38" spans="1:3">
      <c r="A38" s="6" t="s">
        <v>171</v>
      </c>
      <c r="B38" s="6">
        <v>13.73</v>
      </c>
      <c r="C38" s="6">
        <v>749</v>
      </c>
    </row>
    <row r="39" spans="1:3">
      <c r="A39" s="6" t="s">
        <v>170</v>
      </c>
      <c r="B39" s="6">
        <v>2.87</v>
      </c>
      <c r="C39" s="6">
        <v>927</v>
      </c>
    </row>
    <row r="40" spans="1:3">
      <c r="A40" s="6" t="s">
        <v>169</v>
      </c>
      <c r="B40" s="6">
        <v>3.6</v>
      </c>
      <c r="C40" s="6">
        <v>822</v>
      </c>
    </row>
    <row r="42" spans="1:3">
      <c r="B42" s="6" t="s">
        <v>188</v>
      </c>
      <c r="C42" s="6" t="s">
        <v>187</v>
      </c>
    </row>
    <row r="43" spans="1:3">
      <c r="A43" s="6" t="s">
        <v>186</v>
      </c>
      <c r="B43" s="6">
        <v>22.05</v>
      </c>
      <c r="C43" s="6">
        <v>156.4</v>
      </c>
    </row>
    <row r="44" spans="1:3">
      <c r="A44" s="6" t="s">
        <v>185</v>
      </c>
      <c r="B44" s="6">
        <v>0.42</v>
      </c>
      <c r="C44" s="6">
        <v>83.9</v>
      </c>
    </row>
    <row r="45" spans="1:3">
      <c r="A45" s="6" t="s">
        <v>184</v>
      </c>
      <c r="B45" s="6">
        <v>46.64</v>
      </c>
      <c r="C45" s="6">
        <v>44.5</v>
      </c>
    </row>
    <row r="46" spans="1:3">
      <c r="A46" s="6" t="s">
        <v>183</v>
      </c>
      <c r="B46" s="6">
        <v>6.29</v>
      </c>
      <c r="C46" s="6">
        <v>183.5</v>
      </c>
    </row>
    <row r="47" spans="1:3">
      <c r="A47" s="6" t="s">
        <v>182</v>
      </c>
      <c r="B47" s="6">
        <v>2.48</v>
      </c>
      <c r="C47" s="6">
        <v>170.4</v>
      </c>
    </row>
    <row r="48" spans="1:3">
      <c r="A48" s="6" t="s">
        <v>181</v>
      </c>
      <c r="B48" s="6">
        <v>3.61</v>
      </c>
      <c r="C48" s="6">
        <v>414.2</v>
      </c>
    </row>
    <row r="49" spans="1:3">
      <c r="A49" s="6" t="s">
        <v>180</v>
      </c>
      <c r="B49" s="6">
        <v>1.9</v>
      </c>
      <c r="C49" s="6">
        <v>272.3</v>
      </c>
    </row>
    <row r="50" spans="1:3">
      <c r="A50" s="6" t="s">
        <v>179</v>
      </c>
      <c r="B50" s="6">
        <v>24.73</v>
      </c>
      <c r="C50" s="6">
        <v>81.099999999999994</v>
      </c>
    </row>
    <row r="51" spans="1:3">
      <c r="A51" s="6" t="s">
        <v>178</v>
      </c>
      <c r="B51" s="6">
        <v>44.02</v>
      </c>
      <c r="C51" s="6">
        <v>81.3</v>
      </c>
    </row>
    <row r="52" spans="1:3">
      <c r="A52" s="6" t="s">
        <v>177</v>
      </c>
      <c r="B52" s="6">
        <v>13.48</v>
      </c>
      <c r="C52" s="6">
        <v>55</v>
      </c>
    </row>
    <row r="53" spans="1:3">
      <c r="A53" s="6" t="s">
        <v>176</v>
      </c>
      <c r="B53" s="6">
        <v>34.06</v>
      </c>
      <c r="C53" s="6">
        <v>70.400000000000006</v>
      </c>
    </row>
    <row r="54" spans="1:3">
      <c r="A54" s="6" t="s">
        <v>175</v>
      </c>
      <c r="B54" s="6">
        <v>3.87</v>
      </c>
      <c r="C54" s="6">
        <v>275.89999999999998</v>
      </c>
    </row>
    <row r="55" spans="1:3">
      <c r="A55" s="6" t="s">
        <v>174</v>
      </c>
      <c r="B55" s="6">
        <v>6.47</v>
      </c>
      <c r="C55" s="6">
        <v>112.9</v>
      </c>
    </row>
    <row r="56" spans="1:3">
      <c r="A56" s="6" t="s">
        <v>173</v>
      </c>
      <c r="B56" s="6">
        <v>28.84</v>
      </c>
      <c r="C56" s="6">
        <v>-12.5</v>
      </c>
    </row>
    <row r="57" spans="1:3">
      <c r="A57" s="6" t="s">
        <v>172</v>
      </c>
      <c r="B57" s="6">
        <v>8.93</v>
      </c>
      <c r="C57" s="6">
        <v>151.5</v>
      </c>
    </row>
    <row r="58" spans="1:3">
      <c r="A58" s="6" t="s">
        <v>171</v>
      </c>
      <c r="B58" s="6">
        <v>13.73</v>
      </c>
      <c r="C58" s="6">
        <v>28.3</v>
      </c>
    </row>
    <row r="59" spans="1:3">
      <c r="A59" s="6" t="s">
        <v>170</v>
      </c>
      <c r="B59" s="6">
        <v>2.87</v>
      </c>
      <c r="C59" s="6">
        <v>102.3</v>
      </c>
    </row>
    <row r="60" spans="1:3">
      <c r="A60" s="6" t="s">
        <v>169</v>
      </c>
      <c r="B60" s="6">
        <v>3.6</v>
      </c>
      <c r="C60" s="6">
        <v>-7.9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67F53-FA32-4430-82F7-CD2D901054EF}">
  <dimension ref="A1:C10"/>
  <sheetViews>
    <sheetView workbookViewId="0">
      <selection activeCell="C39" sqref="C39"/>
    </sheetView>
  </sheetViews>
  <sheetFormatPr baseColWidth="10" defaultColWidth="11.44140625" defaultRowHeight="14.4"/>
  <cols>
    <col min="1" max="1" width="21.88671875" style="6" customWidth="1"/>
    <col min="2" max="16384" width="11.44140625" style="6"/>
  </cols>
  <sheetData>
    <row r="1" spans="1:3">
      <c r="A1" s="7" t="s">
        <v>100</v>
      </c>
      <c r="B1" s="7" t="s">
        <v>99</v>
      </c>
    </row>
    <row r="4" spans="1:3" ht="28.8">
      <c r="A4" s="6" t="s">
        <v>197</v>
      </c>
      <c r="B4" s="45" t="s">
        <v>117</v>
      </c>
      <c r="C4" s="45" t="s">
        <v>116</v>
      </c>
    </row>
    <row r="5" spans="1:3">
      <c r="A5" s="6" t="s">
        <v>196</v>
      </c>
      <c r="B5" s="48">
        <v>0.13600000000000001</v>
      </c>
      <c r="C5" s="48">
        <v>8.0000000000000002E-3</v>
      </c>
    </row>
    <row r="6" spans="1:3">
      <c r="A6" s="6" t="s">
        <v>195</v>
      </c>
      <c r="B6" s="48">
        <v>0.11600000000000001</v>
      </c>
      <c r="C6" s="48">
        <v>0.21</v>
      </c>
    </row>
    <row r="7" spans="1:3">
      <c r="A7" s="6" t="s">
        <v>194</v>
      </c>
      <c r="B7" s="48">
        <v>9.8000000000000004E-2</v>
      </c>
      <c r="C7" s="48">
        <v>0.17100000000000001</v>
      </c>
    </row>
    <row r="8" spans="1:3">
      <c r="A8" s="6" t="s">
        <v>193</v>
      </c>
      <c r="B8" s="48">
        <v>6.8000000000000005E-2</v>
      </c>
      <c r="C8" s="48">
        <v>0.184</v>
      </c>
    </row>
    <row r="9" spans="1:3">
      <c r="A9" s="6" t="s">
        <v>192</v>
      </c>
      <c r="B9" s="48">
        <v>4.9000000000000002E-2</v>
      </c>
      <c r="C9" s="48">
        <v>8.5000000000000006E-2</v>
      </c>
    </row>
    <row r="10" spans="1:3">
      <c r="A10" s="6" t="s">
        <v>191</v>
      </c>
      <c r="B10" s="48">
        <v>0.04</v>
      </c>
      <c r="C10" s="48">
        <v>0.34100000000000003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0DD6-A483-43C0-8BB9-38F6C600A1F9}">
  <dimension ref="A1:G13"/>
  <sheetViews>
    <sheetView workbookViewId="0">
      <selection activeCell="I43" sqref="I43"/>
    </sheetView>
  </sheetViews>
  <sheetFormatPr baseColWidth="10" defaultColWidth="11.44140625" defaultRowHeight="14.4"/>
  <cols>
    <col min="1" max="1" width="27.109375" style="6" customWidth="1"/>
    <col min="2" max="5" width="0" style="6" hidden="1" customWidth="1"/>
    <col min="6" max="16384" width="11.44140625" style="6"/>
  </cols>
  <sheetData>
    <row r="1" spans="1:7">
      <c r="A1" s="7" t="s">
        <v>98</v>
      </c>
      <c r="B1" s="7"/>
      <c r="C1" s="7"/>
      <c r="D1" s="7"/>
      <c r="E1" s="7"/>
      <c r="F1" s="7" t="s">
        <v>97</v>
      </c>
    </row>
    <row r="4" spans="1:7" ht="25.5" customHeight="1">
      <c r="A4" s="6" t="s">
        <v>206</v>
      </c>
      <c r="B4" s="45" t="s">
        <v>168</v>
      </c>
      <c r="C4" s="45" t="s">
        <v>167</v>
      </c>
      <c r="D4" s="45" t="s">
        <v>205</v>
      </c>
      <c r="E4" s="45" t="s">
        <v>204</v>
      </c>
      <c r="F4" s="45" t="s">
        <v>117</v>
      </c>
      <c r="G4" s="45" t="s">
        <v>116</v>
      </c>
    </row>
    <row r="5" spans="1:7">
      <c r="A5" s="6" t="s">
        <v>203</v>
      </c>
      <c r="B5" s="60">
        <v>45680</v>
      </c>
      <c r="C5" s="60">
        <v>4340</v>
      </c>
      <c r="D5" s="59">
        <v>0.27500000000000002</v>
      </c>
      <c r="E5" s="59">
        <v>0.224</v>
      </c>
      <c r="F5" s="59">
        <v>0.27</v>
      </c>
      <c r="G5" s="59">
        <v>3.5999999999999997E-2</v>
      </c>
    </row>
    <row r="6" spans="1:7">
      <c r="A6" s="6" t="s">
        <v>202</v>
      </c>
      <c r="B6" s="60">
        <v>30230</v>
      </c>
      <c r="C6" s="60">
        <v>8010</v>
      </c>
      <c r="D6" s="59">
        <v>0.246</v>
      </c>
      <c r="E6" s="59">
        <v>0.14799999999999999</v>
      </c>
      <c r="F6" s="59">
        <v>0.245</v>
      </c>
      <c r="G6" s="59">
        <v>6.7000000000000004E-2</v>
      </c>
    </row>
    <row r="7" spans="1:7">
      <c r="A7" s="6" t="s">
        <v>201</v>
      </c>
      <c r="B7" s="60">
        <v>26230</v>
      </c>
      <c r="C7" s="60">
        <v>12610</v>
      </c>
      <c r="D7" s="59">
        <v>0.216</v>
      </c>
      <c r="E7" s="59">
        <v>0.129</v>
      </c>
      <c r="F7" s="59">
        <v>0.214</v>
      </c>
      <c r="G7" s="59">
        <v>0.105</v>
      </c>
    </row>
    <row r="8" spans="1:7">
      <c r="A8" s="6" t="s">
        <v>200</v>
      </c>
      <c r="B8" s="60">
        <v>15070</v>
      </c>
      <c r="C8" s="60">
        <v>10190</v>
      </c>
      <c r="D8" s="59">
        <v>0.14299999999999999</v>
      </c>
      <c r="E8" s="59">
        <v>7.3999999999999996E-2</v>
      </c>
      <c r="F8" s="59">
        <v>0.14199999999999999</v>
      </c>
      <c r="G8" s="59">
        <v>8.5000000000000006E-2</v>
      </c>
    </row>
    <row r="9" spans="1:7">
      <c r="A9" s="6" t="s">
        <v>199</v>
      </c>
      <c r="B9" s="60">
        <v>14720</v>
      </c>
      <c r="C9" s="60">
        <v>12660</v>
      </c>
      <c r="D9" s="59">
        <v>0.113</v>
      </c>
      <c r="E9" s="59">
        <v>7.1999999999999995E-2</v>
      </c>
      <c r="F9" s="59">
        <v>0.114</v>
      </c>
      <c r="G9" s="59">
        <v>0.105</v>
      </c>
    </row>
    <row r="10" spans="1:7">
      <c r="A10" s="6" t="s">
        <v>198</v>
      </c>
      <c r="B10" s="60">
        <v>72120</v>
      </c>
      <c r="C10" s="60">
        <v>72290</v>
      </c>
      <c r="D10" s="59">
        <v>4.2000000000000003E-2</v>
      </c>
      <c r="E10" s="59">
        <v>0.35299999999999998</v>
      </c>
      <c r="F10" s="59">
        <v>4.2000000000000003E-2</v>
      </c>
      <c r="G10" s="59">
        <v>0.60199999999999998</v>
      </c>
    </row>
    <row r="11" spans="1:7">
      <c r="A11" s="7"/>
    </row>
    <row r="12" spans="1:7">
      <c r="B12" s="58"/>
      <c r="C12" s="58"/>
      <c r="D12" s="57"/>
      <c r="E12" s="57"/>
      <c r="F12" s="57"/>
      <c r="G12" s="57"/>
    </row>
    <row r="13" spans="1:7">
      <c r="B13" s="58"/>
      <c r="C13" s="58"/>
      <c r="D13" s="57"/>
      <c r="E13" s="57"/>
      <c r="F13" s="57"/>
      <c r="G13" s="57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1825-159E-4D09-9813-B650A2CA06D8}">
  <dimension ref="A1:F20"/>
  <sheetViews>
    <sheetView workbookViewId="0">
      <selection activeCell="A50" sqref="A50"/>
    </sheetView>
  </sheetViews>
  <sheetFormatPr baseColWidth="10" defaultColWidth="11.44140625" defaultRowHeight="14.4"/>
  <cols>
    <col min="1" max="1" width="36.44140625" style="6" customWidth="1"/>
    <col min="2" max="16384" width="11.44140625" style="6"/>
  </cols>
  <sheetData>
    <row r="1" spans="1:6">
      <c r="A1" s="7" t="s">
        <v>96</v>
      </c>
      <c r="B1" s="7" t="s">
        <v>223</v>
      </c>
    </row>
    <row r="3" spans="1:6">
      <c r="A3" s="16"/>
      <c r="C3" s="16" t="s">
        <v>222</v>
      </c>
      <c r="D3" s="16"/>
      <c r="E3" s="16" t="s">
        <v>221</v>
      </c>
      <c r="F3" s="16"/>
    </row>
    <row r="4" spans="1:6">
      <c r="A4" s="61"/>
      <c r="C4" s="16" t="s">
        <v>220</v>
      </c>
      <c r="D4" s="16" t="s">
        <v>219</v>
      </c>
      <c r="E4" s="16" t="s">
        <v>220</v>
      </c>
      <c r="F4" s="16" t="s">
        <v>219</v>
      </c>
    </row>
    <row r="5" spans="1:6">
      <c r="A5" s="65" t="s">
        <v>218</v>
      </c>
      <c r="B5" s="62" t="s">
        <v>217</v>
      </c>
      <c r="C5" s="62">
        <v>0.1390192013964652</v>
      </c>
      <c r="D5" s="62">
        <v>0</v>
      </c>
      <c r="E5" s="62">
        <v>0.60433486071714304</v>
      </c>
      <c r="F5" s="62">
        <v>0.24921357916939413</v>
      </c>
    </row>
    <row r="6" spans="1:6">
      <c r="A6" s="63" t="s">
        <v>216</v>
      </c>
      <c r="B6" s="62" t="s">
        <v>216</v>
      </c>
      <c r="C6" s="62">
        <v>5.0209632886798243E-2</v>
      </c>
      <c r="D6" s="62">
        <v>2.5837679380986467E-2</v>
      </c>
      <c r="E6" s="62">
        <v>0.30029655383986092</v>
      </c>
      <c r="F6" s="62">
        <v>0.62365613389235441</v>
      </c>
    </row>
    <row r="7" spans="1:6">
      <c r="A7" s="63" t="s">
        <v>215</v>
      </c>
      <c r="B7" s="62" t="s">
        <v>215</v>
      </c>
      <c r="C7" s="62">
        <v>0.10116342590541998</v>
      </c>
      <c r="D7" s="62">
        <v>2.298947306255629E-2</v>
      </c>
      <c r="E7" s="62">
        <v>0.42892766975240287</v>
      </c>
      <c r="F7" s="62">
        <v>0.44691943127962086</v>
      </c>
    </row>
    <row r="8" spans="1:6">
      <c r="A8" s="64" t="s">
        <v>214</v>
      </c>
      <c r="B8" s="62" t="s">
        <v>214</v>
      </c>
      <c r="C8" s="62">
        <v>9.0125664175285419E-2</v>
      </c>
      <c r="D8" s="62">
        <v>5.4694558343178816E-2</v>
      </c>
      <c r="E8" s="62">
        <v>0.31919585036549386</v>
      </c>
      <c r="F8" s="62">
        <v>0.53598392711604192</v>
      </c>
    </row>
    <row r="9" spans="1:6" ht="28.8">
      <c r="A9" s="64" t="s">
        <v>213</v>
      </c>
      <c r="B9" s="62" t="s">
        <v>213</v>
      </c>
      <c r="C9" s="62">
        <v>2.8962977864750026E-2</v>
      </c>
      <c r="D9" s="62">
        <v>2.5975846912586795E-2</v>
      </c>
      <c r="E9" s="62">
        <v>0.16771216249992379</v>
      </c>
      <c r="F9" s="62">
        <v>0.77734901272273937</v>
      </c>
    </row>
    <row r="10" spans="1:6">
      <c r="A10" s="63" t="s">
        <v>212</v>
      </c>
      <c r="B10" s="62" t="s">
        <v>212</v>
      </c>
      <c r="C10" s="62">
        <v>2.2414778137497621E-2</v>
      </c>
      <c r="D10" s="62">
        <v>2.4357265282803277E-2</v>
      </c>
      <c r="E10" s="62">
        <v>5.92839459150638E-2</v>
      </c>
      <c r="F10" s="62">
        <v>0.89394401066463536</v>
      </c>
    </row>
    <row r="11" spans="1:6">
      <c r="A11" s="64" t="s">
        <v>211</v>
      </c>
      <c r="B11" s="62" t="s">
        <v>211</v>
      </c>
      <c r="C11" s="62">
        <v>2.9096608234953407E-2</v>
      </c>
      <c r="D11" s="62">
        <v>3.2171513262125008E-2</v>
      </c>
      <c r="E11" s="62">
        <v>8.6932079521643585E-2</v>
      </c>
      <c r="F11" s="62">
        <v>0.851799798981278</v>
      </c>
    </row>
    <row r="12" spans="1:6">
      <c r="A12" s="63" t="s">
        <v>210</v>
      </c>
      <c r="B12" s="62" t="s">
        <v>210</v>
      </c>
      <c r="C12" s="62">
        <v>0.2820568768637719</v>
      </c>
      <c r="D12" s="62">
        <v>6.9055527270670186E-2</v>
      </c>
      <c r="E12" s="62">
        <v>0.30869315748216031</v>
      </c>
      <c r="F12" s="62">
        <v>0.34019443838339758</v>
      </c>
    </row>
    <row r="13" spans="1:6">
      <c r="A13" s="64" t="s">
        <v>209</v>
      </c>
      <c r="B13" s="62" t="s">
        <v>209</v>
      </c>
      <c r="C13" s="62">
        <v>4.5197421320656239E-2</v>
      </c>
      <c r="D13" s="62">
        <v>4.8336131134590697E-2</v>
      </c>
      <c r="E13" s="62">
        <v>0.21857410881801126</v>
      </c>
      <c r="F13" s="62">
        <v>0.68789233872674183</v>
      </c>
    </row>
    <row r="14" spans="1:6">
      <c r="A14" s="63" t="s">
        <v>208</v>
      </c>
      <c r="B14" s="62" t="s">
        <v>208</v>
      </c>
      <c r="C14" s="62">
        <v>0.22737704617047114</v>
      </c>
      <c r="D14" s="62">
        <v>4.4861656450567985E-2</v>
      </c>
      <c r="E14" s="62">
        <v>0.2223017827682349</v>
      </c>
      <c r="F14" s="62">
        <v>0.50545951461072602</v>
      </c>
    </row>
    <row r="15" spans="1:6">
      <c r="A15" s="63" t="s">
        <v>207</v>
      </c>
      <c r="B15" s="62" t="s">
        <v>207</v>
      </c>
      <c r="C15" s="62">
        <v>2.4290926209250323E-2</v>
      </c>
      <c r="D15" s="62">
        <v>0.12138009493546742</v>
      </c>
      <c r="E15" s="62">
        <v>0.10423286650190264</v>
      </c>
      <c r="F15" s="62">
        <v>0.75009611235337958</v>
      </c>
    </row>
    <row r="16" spans="1:6">
      <c r="A16" s="63" t="s">
        <v>175</v>
      </c>
      <c r="B16" s="62" t="s">
        <v>175</v>
      </c>
      <c r="C16" s="62">
        <v>3.5245240185515267E-2</v>
      </c>
      <c r="D16" s="62">
        <v>6.6712779447888129E-2</v>
      </c>
      <c r="E16" s="62">
        <v>9.8628144758661662E-2</v>
      </c>
      <c r="F16" s="62">
        <v>0.799413835607935</v>
      </c>
    </row>
    <row r="20" spans="1:6">
      <c r="A20" s="16"/>
      <c r="B20" s="61"/>
      <c r="C20" s="16"/>
      <c r="D20" s="16"/>
      <c r="E20" s="16"/>
      <c r="F20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7F9A-63C9-4830-B984-416763B37708}">
  <dimension ref="A1:C10"/>
  <sheetViews>
    <sheetView workbookViewId="0">
      <selection activeCell="A4" sqref="A4:C11"/>
    </sheetView>
  </sheetViews>
  <sheetFormatPr baseColWidth="10" defaultColWidth="11.44140625" defaultRowHeight="14.4"/>
  <cols>
    <col min="1" max="16384" width="11.44140625" style="6"/>
  </cols>
  <sheetData>
    <row r="1" spans="1:3">
      <c r="A1" s="7" t="s">
        <v>94</v>
      </c>
      <c r="B1" s="7" t="s">
        <v>93</v>
      </c>
    </row>
    <row r="4" spans="1:3" ht="28.8">
      <c r="A4" s="6" t="s">
        <v>230</v>
      </c>
      <c r="B4" s="45" t="s">
        <v>117</v>
      </c>
      <c r="C4" s="45" t="s">
        <v>116</v>
      </c>
    </row>
    <row r="5" spans="1:3">
      <c r="A5" s="6" t="s">
        <v>229</v>
      </c>
      <c r="B5" s="66">
        <v>0.316</v>
      </c>
      <c r="C5" s="66">
        <v>0.30199999999999999</v>
      </c>
    </row>
    <row r="6" spans="1:3">
      <c r="A6" s="6" t="s">
        <v>228</v>
      </c>
      <c r="B6" s="66">
        <v>0.105</v>
      </c>
      <c r="C6" s="66">
        <v>0.185</v>
      </c>
    </row>
    <row r="7" spans="1:3">
      <c r="A7" s="6" t="s">
        <v>227</v>
      </c>
      <c r="B7" s="66">
        <v>5.1999999999999998E-2</v>
      </c>
      <c r="C7" s="66">
        <v>0.32400000000000001</v>
      </c>
    </row>
    <row r="8" spans="1:3">
      <c r="A8" s="6" t="s">
        <v>226</v>
      </c>
      <c r="B8" s="66">
        <v>2.8000000000000001E-2</v>
      </c>
      <c r="C8" s="66">
        <v>0.11700000000000001</v>
      </c>
    </row>
    <row r="9" spans="1:3">
      <c r="A9" s="6" t="s">
        <v>225</v>
      </c>
      <c r="B9" s="66">
        <v>0.02</v>
      </c>
      <c r="C9" s="66">
        <v>6.3E-2</v>
      </c>
    </row>
    <row r="10" spans="1:3">
      <c r="A10" s="6" t="s">
        <v>224</v>
      </c>
      <c r="B10" s="66">
        <v>2.7E-2</v>
      </c>
      <c r="C10" s="66">
        <v>8.0000000000000002E-3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DBB1-6E5F-4178-86A8-18685213E2AC}">
  <dimension ref="A1:G8"/>
  <sheetViews>
    <sheetView workbookViewId="0">
      <selection activeCell="B1" sqref="B1"/>
    </sheetView>
  </sheetViews>
  <sheetFormatPr baseColWidth="10" defaultColWidth="11.44140625" defaultRowHeight="14.4"/>
  <cols>
    <col min="1" max="1" width="35.44140625" style="6" customWidth="1"/>
    <col min="2" max="5" width="11.44140625" style="6"/>
    <col min="6" max="7" width="0" style="6" hidden="1" customWidth="1"/>
    <col min="8" max="16384" width="11.44140625" style="6"/>
  </cols>
  <sheetData>
    <row r="1" spans="1:7" ht="25.5" customHeight="1">
      <c r="A1" s="7" t="s">
        <v>92</v>
      </c>
      <c r="B1" s="7" t="s">
        <v>91</v>
      </c>
      <c r="F1" s="46" t="s">
        <v>168</v>
      </c>
      <c r="G1" s="46" t="s">
        <v>167</v>
      </c>
    </row>
    <row r="2" spans="1:7">
      <c r="F2" s="67">
        <v>32220</v>
      </c>
      <c r="G2" s="67">
        <v>23510</v>
      </c>
    </row>
    <row r="3" spans="1:7" ht="28.8">
      <c r="A3" s="6" t="s">
        <v>237</v>
      </c>
      <c r="B3" s="45" t="s">
        <v>117</v>
      </c>
      <c r="C3" s="45" t="s">
        <v>116</v>
      </c>
      <c r="D3" s="6" t="s">
        <v>236</v>
      </c>
      <c r="F3" s="67">
        <v>47040</v>
      </c>
      <c r="G3" s="67">
        <v>28820</v>
      </c>
    </row>
    <row r="4" spans="1:7">
      <c r="A4" s="6" t="s">
        <v>235</v>
      </c>
      <c r="B4" s="48">
        <v>0.16200000000000001</v>
      </c>
      <c r="C4" s="48">
        <v>0.19600000000000001</v>
      </c>
      <c r="D4" s="48">
        <v>0.06</v>
      </c>
      <c r="F4" s="67">
        <v>82630</v>
      </c>
      <c r="G4" s="67">
        <v>46030</v>
      </c>
    </row>
    <row r="5" spans="1:7">
      <c r="A5" s="6" t="s">
        <v>234</v>
      </c>
      <c r="B5" s="48">
        <v>0.129</v>
      </c>
      <c r="C5" s="48">
        <v>0.24</v>
      </c>
      <c r="D5" s="48">
        <v>0.06</v>
      </c>
      <c r="F5" s="67">
        <v>34070</v>
      </c>
      <c r="G5" s="67">
        <v>17610</v>
      </c>
    </row>
    <row r="6" spans="1:7">
      <c r="A6" s="6" t="s">
        <v>233</v>
      </c>
      <c r="B6" s="48">
        <v>6.3E-2</v>
      </c>
      <c r="C6" s="48">
        <v>0.38300000000000001</v>
      </c>
      <c r="D6" s="48">
        <v>0.06</v>
      </c>
      <c r="F6" s="67">
        <v>8090</v>
      </c>
      <c r="G6" s="67">
        <v>4130</v>
      </c>
    </row>
    <row r="7" spans="1:7">
      <c r="A7" s="6" t="s">
        <v>232</v>
      </c>
      <c r="B7" s="48">
        <v>3.1E-2</v>
      </c>
      <c r="C7" s="48">
        <v>0.14699999999999999</v>
      </c>
      <c r="D7" s="48">
        <v>0.06</v>
      </c>
    </row>
    <row r="8" spans="1:7">
      <c r="A8" s="6" t="s">
        <v>231</v>
      </c>
      <c r="B8" s="48">
        <v>1.2999999999999999E-2</v>
      </c>
      <c r="C8" s="48">
        <v>3.4000000000000002E-2</v>
      </c>
      <c r="D8" s="48">
        <v>0.06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BE0D-20C8-4972-932B-3EE7EA79357A}">
  <dimension ref="A1:J59"/>
  <sheetViews>
    <sheetView zoomScale="120" zoomScaleNormal="120" workbookViewId="0">
      <selection activeCell="E22" sqref="E22"/>
    </sheetView>
  </sheetViews>
  <sheetFormatPr baseColWidth="10" defaultRowHeight="14.4"/>
  <sheetData>
    <row r="1" spans="1:8">
      <c r="A1" s="17" t="s">
        <v>2</v>
      </c>
      <c r="B1" s="17" t="s">
        <v>75</v>
      </c>
      <c r="C1" s="36"/>
    </row>
    <row r="2" spans="1:8">
      <c r="A2" s="16"/>
      <c r="B2" s="16"/>
      <c r="C2" s="16"/>
      <c r="D2" s="1"/>
      <c r="E2" s="1"/>
      <c r="F2" s="1"/>
      <c r="G2" s="1"/>
      <c r="H2" s="1"/>
    </row>
    <row r="3" spans="1:8">
      <c r="A3" s="16" t="s">
        <v>39</v>
      </c>
      <c r="B3" s="16">
        <v>18.96</v>
      </c>
      <c r="C3" s="37"/>
      <c r="D3" s="27"/>
      <c r="E3" s="27"/>
      <c r="F3" s="27"/>
      <c r="G3" s="27"/>
      <c r="H3" s="27"/>
    </row>
    <row r="4" spans="1:8">
      <c r="A4" s="16" t="s">
        <v>40</v>
      </c>
      <c r="B4" s="16">
        <v>20.14</v>
      </c>
      <c r="C4" s="37"/>
      <c r="D4" s="27"/>
      <c r="E4" s="27"/>
      <c r="F4" s="27"/>
      <c r="G4" s="27"/>
      <c r="H4" s="27"/>
    </row>
    <row r="5" spans="1:8">
      <c r="A5" s="16" t="s">
        <v>48</v>
      </c>
      <c r="B5" s="16">
        <v>20.93</v>
      </c>
      <c r="C5" s="37"/>
      <c r="D5" s="27"/>
      <c r="E5" s="27"/>
      <c r="F5" s="27"/>
      <c r="G5" s="27"/>
      <c r="H5" s="27"/>
    </row>
    <row r="6" spans="1:8">
      <c r="A6" s="16" t="s">
        <v>41</v>
      </c>
      <c r="B6" s="16">
        <v>21</v>
      </c>
      <c r="C6" s="16"/>
      <c r="D6" s="1"/>
      <c r="E6" s="1"/>
      <c r="F6" s="1"/>
      <c r="G6" s="1"/>
      <c r="H6" s="1"/>
    </row>
    <row r="7" spans="1:8">
      <c r="A7" s="16" t="s">
        <v>0</v>
      </c>
      <c r="B7" s="16">
        <v>21.18</v>
      </c>
      <c r="C7" s="16"/>
      <c r="D7" s="1"/>
      <c r="E7" s="1"/>
      <c r="F7" s="1"/>
      <c r="G7" s="1"/>
      <c r="H7" s="1"/>
    </row>
    <row r="8" spans="1:8">
      <c r="A8" s="16" t="s">
        <v>42</v>
      </c>
      <c r="B8" s="16">
        <v>21.92</v>
      </c>
      <c r="C8" s="16"/>
      <c r="D8" s="1"/>
      <c r="E8" s="1"/>
      <c r="F8" s="1"/>
      <c r="G8" s="1"/>
      <c r="H8" s="1"/>
    </row>
    <row r="9" spans="1:8">
      <c r="A9" s="16" t="s">
        <v>49</v>
      </c>
      <c r="B9" s="16">
        <v>21.96</v>
      </c>
      <c r="C9" s="16"/>
      <c r="D9" s="1"/>
      <c r="E9" s="1"/>
      <c r="F9" s="1"/>
      <c r="G9" s="1"/>
      <c r="H9" s="1"/>
    </row>
    <row r="10" spans="1:8">
      <c r="A10" s="16" t="s">
        <v>47</v>
      </c>
      <c r="B10" s="16">
        <v>22.36</v>
      </c>
      <c r="C10" s="16"/>
      <c r="D10" s="1"/>
      <c r="E10" s="1"/>
      <c r="F10" s="1"/>
      <c r="G10" s="1"/>
      <c r="H10" s="1"/>
    </row>
    <row r="11" spans="1:8">
      <c r="A11" s="16" t="s">
        <v>43</v>
      </c>
      <c r="B11" s="16">
        <v>22.49</v>
      </c>
      <c r="C11" s="16"/>
      <c r="D11" s="1"/>
      <c r="E11" s="1"/>
      <c r="F11" s="1"/>
      <c r="G11" s="1"/>
      <c r="H11" s="1"/>
    </row>
    <row r="12" spans="1:8">
      <c r="A12" s="16" t="s">
        <v>50</v>
      </c>
      <c r="B12" s="16">
        <v>25.57</v>
      </c>
      <c r="C12" s="16"/>
      <c r="D12" s="1"/>
      <c r="E12" s="1"/>
      <c r="F12" s="1"/>
      <c r="G12" s="1"/>
      <c r="H12" s="1"/>
    </row>
    <row r="13" spans="1:8">
      <c r="A13" s="16" t="s">
        <v>44</v>
      </c>
      <c r="B13" s="16">
        <v>25.63</v>
      </c>
      <c r="C13" s="16"/>
      <c r="D13" s="1"/>
      <c r="E13" s="1"/>
      <c r="F13" s="1"/>
      <c r="G13" s="1"/>
      <c r="H13" s="1"/>
    </row>
    <row r="14" spans="1:8">
      <c r="A14" s="16" t="s">
        <v>1</v>
      </c>
      <c r="B14" s="16">
        <v>26.77</v>
      </c>
      <c r="C14" s="36"/>
    </row>
    <row r="15" spans="1:8">
      <c r="A15" s="16" t="s">
        <v>45</v>
      </c>
      <c r="B15" s="16">
        <v>27.39</v>
      </c>
      <c r="C15" s="36"/>
    </row>
    <row r="16" spans="1:8">
      <c r="A16" s="16" t="s">
        <v>51</v>
      </c>
      <c r="B16" s="16">
        <v>27.56</v>
      </c>
      <c r="C16" s="36"/>
    </row>
    <row r="17" spans="1:8">
      <c r="A17" s="16" t="s">
        <v>46</v>
      </c>
      <c r="B17" s="16">
        <v>27.99</v>
      </c>
      <c r="C17" s="36"/>
    </row>
    <row r="18" spans="1:8">
      <c r="A18" s="16" t="s">
        <v>52</v>
      </c>
      <c r="B18" s="16">
        <v>28.14</v>
      </c>
      <c r="C18" s="36"/>
    </row>
    <row r="19" spans="1:8">
      <c r="A19" s="16" t="s">
        <v>53</v>
      </c>
      <c r="B19" s="16">
        <v>28.7</v>
      </c>
      <c r="C19" s="36"/>
    </row>
    <row r="20" spans="1:8">
      <c r="A20" s="16" t="s">
        <v>54</v>
      </c>
      <c r="B20" s="16">
        <v>29.78</v>
      </c>
      <c r="C20" s="36"/>
    </row>
    <row r="21" spans="1:8">
      <c r="A21" s="16" t="s">
        <v>55</v>
      </c>
      <c r="B21" s="16">
        <v>30.07</v>
      </c>
      <c r="C21" s="36"/>
    </row>
    <row r="22" spans="1:8">
      <c r="A22" s="16" t="s">
        <v>56</v>
      </c>
      <c r="B22" s="16">
        <v>30.12</v>
      </c>
      <c r="C22" s="36"/>
    </row>
    <row r="23" spans="1:8">
      <c r="A23" s="16" t="s">
        <v>57</v>
      </c>
      <c r="B23" s="16">
        <v>30.47</v>
      </c>
      <c r="C23" s="36"/>
    </row>
    <row r="24" spans="1:8">
      <c r="A24" s="16" t="s">
        <v>58</v>
      </c>
      <c r="B24" s="16">
        <v>30.98</v>
      </c>
      <c r="C24" s="36"/>
    </row>
    <row r="25" spans="1:8">
      <c r="A25" s="16" t="s">
        <v>59</v>
      </c>
      <c r="B25" s="16">
        <v>31</v>
      </c>
      <c r="C25" s="36"/>
    </row>
    <row r="26" spans="1:8">
      <c r="A26" s="16" t="s">
        <v>60</v>
      </c>
      <c r="B26" s="16">
        <v>33.54</v>
      </c>
      <c r="C26" s="38"/>
      <c r="D26" s="2"/>
      <c r="E26" s="2"/>
      <c r="F26" s="2"/>
      <c r="G26" s="2"/>
      <c r="H26" s="2"/>
    </row>
    <row r="27" spans="1:8">
      <c r="A27" s="16" t="s">
        <v>61</v>
      </c>
      <c r="B27" s="16">
        <v>35.19</v>
      </c>
      <c r="C27" s="38"/>
      <c r="D27" s="2"/>
      <c r="E27" s="2"/>
      <c r="F27" s="2"/>
      <c r="G27" s="2"/>
      <c r="H27" s="2"/>
    </row>
    <row r="28" spans="1:8">
      <c r="A28" s="16" t="s">
        <v>62</v>
      </c>
      <c r="B28" s="16">
        <v>35.74</v>
      </c>
      <c r="C28" s="4"/>
      <c r="D28" s="3"/>
      <c r="E28" s="3"/>
      <c r="F28" s="3"/>
      <c r="G28" s="3"/>
      <c r="H28" s="3"/>
    </row>
    <row r="29" spans="1:8">
      <c r="A29" s="16" t="s">
        <v>64</v>
      </c>
      <c r="B29" s="16">
        <v>36.369999999999997</v>
      </c>
      <c r="C29" s="16"/>
      <c r="D29" s="3"/>
      <c r="E29" s="3"/>
      <c r="F29" s="3"/>
      <c r="G29" s="3"/>
      <c r="H29" s="3"/>
    </row>
    <row r="30" spans="1:8">
      <c r="A30" s="36"/>
      <c r="B30" s="36"/>
      <c r="C30" s="16"/>
      <c r="D30" s="3"/>
      <c r="E30" s="3"/>
      <c r="F30" s="3"/>
      <c r="G30" s="3"/>
      <c r="H30" s="3"/>
    </row>
    <row r="31" spans="1:8">
      <c r="A31" s="36"/>
      <c r="B31" s="36"/>
      <c r="C31" s="16"/>
      <c r="D31" s="3"/>
      <c r="E31" s="3"/>
      <c r="F31" s="3"/>
      <c r="G31" s="3"/>
      <c r="H31" s="3"/>
    </row>
    <row r="32" spans="1:8">
      <c r="A32" s="16"/>
      <c r="B32" s="16"/>
      <c r="C32" s="16"/>
      <c r="D32" s="3"/>
      <c r="E32" s="3"/>
      <c r="F32" s="3"/>
      <c r="G32" s="3"/>
      <c r="H32" s="3"/>
    </row>
    <row r="33" spans="1:10">
      <c r="A33" s="16"/>
      <c r="B33" s="16"/>
      <c r="C33" s="16"/>
      <c r="D33" s="3"/>
      <c r="E33" s="3"/>
      <c r="F33" s="3"/>
      <c r="G33" s="3"/>
      <c r="H33" s="3"/>
    </row>
    <row r="34" spans="1:10">
      <c r="E34" s="3"/>
      <c r="F34" s="3"/>
      <c r="G34" s="3"/>
      <c r="H34" s="3"/>
      <c r="I34" s="3"/>
      <c r="J34" s="3"/>
    </row>
    <row r="35" spans="1:10">
      <c r="E35" s="3"/>
      <c r="F35" s="3"/>
      <c r="G35" s="3"/>
      <c r="H35" s="3"/>
      <c r="I35" s="3"/>
      <c r="J35" s="3"/>
    </row>
    <row r="36" spans="1:10">
      <c r="E36" s="3"/>
      <c r="F36" s="3"/>
      <c r="G36" s="3"/>
      <c r="H36" s="3"/>
      <c r="I36" s="3"/>
      <c r="J36" s="3"/>
    </row>
    <row r="37" spans="1:10">
      <c r="E37" s="3"/>
      <c r="F37" s="3"/>
      <c r="G37" s="3"/>
      <c r="H37" s="3"/>
      <c r="I37" s="3"/>
      <c r="J37" s="3"/>
    </row>
    <row r="38" spans="1:10">
      <c r="E38" s="3"/>
      <c r="F38" s="3"/>
      <c r="G38" s="3"/>
      <c r="H38" s="3"/>
      <c r="I38" s="3"/>
      <c r="J38" s="3"/>
    </row>
    <row r="39" spans="1:10">
      <c r="E39" s="3"/>
      <c r="F39" s="3"/>
      <c r="G39" s="3"/>
      <c r="H39" s="3"/>
      <c r="I39" s="3"/>
      <c r="J39" s="3"/>
    </row>
    <row r="40" spans="1:10"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E42" s="3"/>
      <c r="F42" s="3"/>
      <c r="G42" s="3"/>
      <c r="H42" s="3"/>
      <c r="I42" s="3"/>
      <c r="J42" s="3"/>
    </row>
    <row r="43" spans="1:10">
      <c r="E43" s="3"/>
      <c r="F43" s="3"/>
      <c r="G43" s="3"/>
      <c r="H43" s="3"/>
      <c r="I43" s="3"/>
      <c r="J43" s="3"/>
    </row>
    <row r="44" spans="1:10">
      <c r="E44" s="3"/>
      <c r="F44" s="3"/>
      <c r="G44" s="3"/>
      <c r="H44" s="3"/>
      <c r="I44" s="3"/>
      <c r="J44" s="3"/>
    </row>
    <row r="45" spans="1:10">
      <c r="E45" s="3"/>
      <c r="F45" s="3"/>
      <c r="G45" s="3"/>
      <c r="H45" s="3"/>
      <c r="I45" s="3"/>
      <c r="J45" s="3"/>
    </row>
    <row r="46" spans="1:10">
      <c r="E46" s="3"/>
      <c r="F46" s="3"/>
      <c r="G46" s="3"/>
      <c r="H46" s="3"/>
      <c r="I46" s="3"/>
      <c r="J46" s="3"/>
    </row>
    <row r="47" spans="1:10">
      <c r="E47" s="3"/>
      <c r="F47" s="3"/>
      <c r="G47" s="3"/>
      <c r="H47" s="3"/>
      <c r="I47" s="3"/>
      <c r="J47" s="3"/>
    </row>
    <row r="48" spans="1:10">
      <c r="E48" s="3"/>
      <c r="F48" s="3"/>
      <c r="G48" s="3"/>
      <c r="H48" s="3"/>
      <c r="I48" s="3"/>
      <c r="J48" s="3"/>
    </row>
    <row r="49" spans="5:10">
      <c r="E49" s="3"/>
      <c r="F49" s="3"/>
      <c r="G49" s="3"/>
      <c r="H49" s="3"/>
      <c r="I49" s="3"/>
      <c r="J49" s="3"/>
    </row>
    <row r="50" spans="5:10">
      <c r="E50" s="3"/>
      <c r="F50" s="3"/>
      <c r="G50" s="3"/>
      <c r="H50" s="3"/>
      <c r="I50" s="3"/>
      <c r="J50" s="3"/>
    </row>
    <row r="51" spans="5:10">
      <c r="E51" s="3"/>
      <c r="F51" s="3"/>
      <c r="G51" s="3"/>
      <c r="H51" s="3"/>
      <c r="I51" s="3"/>
      <c r="J51" s="3"/>
    </row>
    <row r="52" spans="5:10">
      <c r="E52" s="3"/>
      <c r="F52" s="3"/>
      <c r="G52" s="3"/>
      <c r="H52" s="3"/>
      <c r="I52" s="3"/>
      <c r="J52" s="3"/>
    </row>
    <row r="53" spans="5:10">
      <c r="E53" s="3"/>
      <c r="F53" s="3"/>
      <c r="G53" s="3"/>
      <c r="H53" s="3"/>
      <c r="I53" s="3"/>
      <c r="J53" s="3"/>
    </row>
    <row r="54" spans="5:10">
      <c r="E54" s="3"/>
      <c r="F54" s="3"/>
      <c r="G54" s="3"/>
      <c r="H54" s="3"/>
      <c r="I54" s="3"/>
      <c r="J54" s="3"/>
    </row>
    <row r="55" spans="5:10">
      <c r="E55" s="3"/>
      <c r="F55" s="3"/>
      <c r="G55" s="3"/>
      <c r="H55" s="3"/>
      <c r="I55" s="3"/>
      <c r="J55" s="3"/>
    </row>
    <row r="56" spans="5:10">
      <c r="E56" s="3"/>
      <c r="F56" s="3"/>
      <c r="G56" s="3"/>
      <c r="H56" s="3"/>
      <c r="I56" s="3"/>
      <c r="J56" s="3"/>
    </row>
    <row r="57" spans="5:10">
      <c r="E57" s="3"/>
      <c r="F57" s="3"/>
      <c r="G57" s="3"/>
      <c r="H57" s="3"/>
      <c r="I57" s="3"/>
      <c r="J57" s="3"/>
    </row>
    <row r="58" spans="5:10">
      <c r="E58" s="3"/>
      <c r="F58" s="3"/>
      <c r="G58" s="3"/>
      <c r="H58" s="3"/>
      <c r="I58" s="3"/>
      <c r="J58" s="3"/>
    </row>
    <row r="59" spans="5:10">
      <c r="E59" s="3"/>
      <c r="F59" s="3"/>
      <c r="G59" s="3"/>
      <c r="H59" s="3"/>
      <c r="I59" s="3"/>
      <c r="J59" s="3"/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115E-6918-4CBB-92C5-38C08474933B}">
  <dimension ref="A1:B8"/>
  <sheetViews>
    <sheetView workbookViewId="0">
      <selection activeCell="E29" sqref="E29"/>
    </sheetView>
  </sheetViews>
  <sheetFormatPr baseColWidth="10" defaultColWidth="30.109375" defaultRowHeight="14.4"/>
  <cols>
    <col min="1" max="16384" width="30.109375" style="6"/>
  </cols>
  <sheetData>
    <row r="1" spans="1:2">
      <c r="A1" s="7" t="s">
        <v>92</v>
      </c>
      <c r="B1" s="7" t="s">
        <v>245</v>
      </c>
    </row>
    <row r="2" spans="1:2">
      <c r="B2" s="6" t="s">
        <v>244</v>
      </c>
    </row>
    <row r="3" spans="1:2">
      <c r="A3" s="6" t="s">
        <v>243</v>
      </c>
      <c r="B3" s="6">
        <v>27.4</v>
      </c>
    </row>
    <row r="4" spans="1:2">
      <c r="A4" s="6" t="s">
        <v>242</v>
      </c>
      <c r="B4" s="6">
        <v>26</v>
      </c>
    </row>
    <row r="5" spans="1:2">
      <c r="A5" s="6" t="s">
        <v>241</v>
      </c>
      <c r="B5" s="6">
        <v>20.100000000000001</v>
      </c>
    </row>
    <row r="6" spans="1:2">
      <c r="A6" s="6" t="s">
        <v>240</v>
      </c>
      <c r="B6" s="6">
        <v>21.2</v>
      </c>
    </row>
    <row r="7" spans="1:2">
      <c r="A7" s="6" t="s">
        <v>239</v>
      </c>
      <c r="B7" s="6">
        <v>18.8</v>
      </c>
    </row>
    <row r="8" spans="1:2">
      <c r="A8" s="6" t="s">
        <v>238</v>
      </c>
      <c r="B8" s="6">
        <v>16.600000000000001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E7A8-7DBB-44A6-B115-296591D93B3D}">
  <dimension ref="A1:F13"/>
  <sheetViews>
    <sheetView workbookViewId="0">
      <selection activeCell="B39" sqref="B39"/>
    </sheetView>
  </sheetViews>
  <sheetFormatPr baseColWidth="10" defaultColWidth="11.44140625" defaultRowHeight="14.4"/>
  <cols>
    <col min="1" max="16384" width="11.44140625" style="6"/>
  </cols>
  <sheetData>
    <row r="1" spans="1:6">
      <c r="A1" s="7" t="s">
        <v>88</v>
      </c>
      <c r="B1" s="7" t="s">
        <v>87</v>
      </c>
    </row>
    <row r="4" spans="1:6">
      <c r="A4" s="4"/>
      <c r="B4" s="4" t="s">
        <v>234</v>
      </c>
      <c r="C4" s="4" t="s">
        <v>251</v>
      </c>
      <c r="D4" s="4" t="s">
        <v>250</v>
      </c>
      <c r="E4" s="4" t="s">
        <v>249</v>
      </c>
      <c r="F4" s="4" t="s">
        <v>248</v>
      </c>
    </row>
    <row r="5" spans="1:6">
      <c r="A5" s="4" t="s">
        <v>47</v>
      </c>
      <c r="B5" s="4">
        <v>100</v>
      </c>
      <c r="C5" s="70">
        <v>122.0171</v>
      </c>
      <c r="D5" s="70">
        <v>110.66119999999999</v>
      </c>
      <c r="E5" s="70">
        <v>125.1741</v>
      </c>
      <c r="F5" s="70">
        <v>159.197</v>
      </c>
    </row>
    <row r="6" spans="1:6">
      <c r="A6" s="4" t="s">
        <v>44</v>
      </c>
      <c r="B6" s="4">
        <v>100</v>
      </c>
      <c r="C6" s="70">
        <v>121.4469</v>
      </c>
      <c r="D6" s="70">
        <v>98.458309999999997</v>
      </c>
      <c r="E6" s="70">
        <v>121.3939</v>
      </c>
      <c r="F6" s="70">
        <v>162.602</v>
      </c>
    </row>
    <row r="7" spans="1:6">
      <c r="A7" s="4" t="s">
        <v>53</v>
      </c>
      <c r="B7" s="4">
        <v>100</v>
      </c>
      <c r="C7" s="70">
        <v>158.56809999999999</v>
      </c>
      <c r="D7" s="70">
        <v>142.06649999999999</v>
      </c>
      <c r="E7" s="70">
        <v>210.65209999999999</v>
      </c>
      <c r="F7" s="70">
        <v>255.53710000000001</v>
      </c>
    </row>
    <row r="8" spans="1:6">
      <c r="A8" s="4" t="s">
        <v>48</v>
      </c>
      <c r="B8" s="4">
        <v>100</v>
      </c>
      <c r="C8" s="70">
        <v>134.53440000000001</v>
      </c>
      <c r="D8" s="70">
        <v>113.77209999999999</v>
      </c>
      <c r="E8" s="70">
        <v>153.39189999999999</v>
      </c>
      <c r="F8" s="70">
        <v>206.27170000000001</v>
      </c>
    </row>
    <row r="9" spans="1:6">
      <c r="A9" s="4" t="s">
        <v>41</v>
      </c>
      <c r="B9" s="4">
        <v>100</v>
      </c>
      <c r="C9" s="70">
        <v>120.0592</v>
      </c>
      <c r="D9" s="70">
        <v>116.5728</v>
      </c>
      <c r="E9" s="70">
        <v>125.5018</v>
      </c>
      <c r="F9" s="70">
        <v>157.8544</v>
      </c>
    </row>
    <row r="10" spans="1:6">
      <c r="A10" s="4" t="s">
        <v>40</v>
      </c>
      <c r="B10" s="4">
        <v>100</v>
      </c>
      <c r="C10" s="70">
        <v>125.82640000000001</v>
      </c>
      <c r="D10" s="70">
        <v>115.86920000000001</v>
      </c>
      <c r="E10" s="70">
        <v>134.68960000000001</v>
      </c>
      <c r="F10" s="70">
        <v>168.29839999999999</v>
      </c>
    </row>
    <row r="11" spans="1:6">
      <c r="A11" s="4" t="s">
        <v>0</v>
      </c>
      <c r="B11" s="4">
        <v>100</v>
      </c>
      <c r="C11" s="70" t="s">
        <v>247</v>
      </c>
      <c r="D11" s="70" t="s">
        <v>247</v>
      </c>
      <c r="E11" s="70">
        <v>215.0633</v>
      </c>
      <c r="F11" s="70">
        <v>281.97340000000003</v>
      </c>
    </row>
    <row r="12" spans="1:6">
      <c r="A12" s="4" t="s">
        <v>246</v>
      </c>
      <c r="B12" s="4">
        <v>100</v>
      </c>
      <c r="C12" s="69">
        <v>127.5966</v>
      </c>
      <c r="D12" s="69">
        <v>119.9524</v>
      </c>
      <c r="E12" s="69">
        <v>163.73609999999999</v>
      </c>
      <c r="F12" s="69">
        <v>207.6327</v>
      </c>
    </row>
    <row r="13" spans="1:6">
      <c r="A13" s="68"/>
      <c r="B13" s="68"/>
      <c r="C13" s="68"/>
      <c r="D13" s="68"/>
      <c r="E13" s="68"/>
      <c r="F13" s="68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AAB2-88B9-4E8E-9F22-82514D4A1625}">
  <dimension ref="A1:E7"/>
  <sheetViews>
    <sheetView workbookViewId="0">
      <selection activeCell="N33" sqref="N33"/>
    </sheetView>
  </sheetViews>
  <sheetFormatPr baseColWidth="10" defaultColWidth="11.44140625" defaultRowHeight="14.4"/>
  <cols>
    <col min="1" max="1" width="21.109375" style="6" customWidth="1"/>
    <col min="2" max="3" width="11.44140625" style="6"/>
    <col min="4" max="5" width="0" style="6" hidden="1" customWidth="1"/>
    <col min="6" max="16384" width="11.44140625" style="6"/>
  </cols>
  <sheetData>
    <row r="1" spans="1:5" ht="24.75" customHeight="1">
      <c r="A1" s="7" t="s">
        <v>86</v>
      </c>
      <c r="B1" s="7" t="s">
        <v>85</v>
      </c>
      <c r="D1" s="46" t="s">
        <v>168</v>
      </c>
      <c r="E1" s="46" t="s">
        <v>167</v>
      </c>
    </row>
    <row r="2" spans="1:5">
      <c r="D2" s="67">
        <v>16920</v>
      </c>
      <c r="E2" s="67">
        <v>13230</v>
      </c>
    </row>
    <row r="3" spans="1:5">
      <c r="D3" s="67">
        <v>63890</v>
      </c>
      <c r="E3" s="67">
        <v>39670</v>
      </c>
    </row>
    <row r="4" spans="1:5" ht="28.8">
      <c r="A4" s="6" t="s">
        <v>255</v>
      </c>
      <c r="B4" s="45" t="s">
        <v>117</v>
      </c>
      <c r="C4" s="45" t="s">
        <v>116</v>
      </c>
      <c r="D4" s="67">
        <v>123240</v>
      </c>
      <c r="E4" s="67">
        <v>67190</v>
      </c>
    </row>
    <row r="5" spans="1:5">
      <c r="A5" s="6" t="s">
        <v>254</v>
      </c>
      <c r="B5" s="48">
        <v>0.17100000000000001</v>
      </c>
      <c r="C5" s="48">
        <v>0.11</v>
      </c>
    </row>
    <row r="6" spans="1:5">
      <c r="A6" s="6" t="s">
        <v>253</v>
      </c>
      <c r="B6" s="48">
        <v>0.108</v>
      </c>
      <c r="C6" s="48">
        <v>0.33</v>
      </c>
    </row>
    <row r="7" spans="1:5">
      <c r="A7" s="6" t="s">
        <v>252</v>
      </c>
      <c r="B7" s="48">
        <v>4.2999999999999997E-2</v>
      </c>
      <c r="C7" s="48">
        <v>0.55900000000000005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AEC4-8DED-4528-BB50-148C554F89A3}">
  <dimension ref="A1:E7"/>
  <sheetViews>
    <sheetView workbookViewId="0">
      <selection activeCell="J34" sqref="J34"/>
    </sheetView>
  </sheetViews>
  <sheetFormatPr baseColWidth="10" defaultColWidth="11.44140625" defaultRowHeight="14.4"/>
  <cols>
    <col min="1" max="3" width="11.44140625" style="6"/>
    <col min="4" max="5" width="0" style="6" hidden="1" customWidth="1"/>
    <col min="6" max="16384" width="11.44140625" style="6"/>
  </cols>
  <sheetData>
    <row r="1" spans="1:5" ht="36" customHeight="1">
      <c r="A1" s="7" t="s">
        <v>84</v>
      </c>
      <c r="B1" s="7" t="s">
        <v>83</v>
      </c>
      <c r="D1" s="46" t="s">
        <v>168</v>
      </c>
      <c r="E1" s="46" t="s">
        <v>167</v>
      </c>
    </row>
    <row r="2" spans="1:5">
      <c r="D2" s="67">
        <v>116980</v>
      </c>
      <c r="E2" s="67">
        <v>65420</v>
      </c>
    </row>
    <row r="3" spans="1:5">
      <c r="D3" s="67">
        <v>87060</v>
      </c>
      <c r="E3" s="67">
        <v>54680</v>
      </c>
    </row>
    <row r="5" spans="1:5" ht="28.8">
      <c r="A5" s="6" t="s">
        <v>258</v>
      </c>
      <c r="B5" s="45" t="s">
        <v>117</v>
      </c>
      <c r="C5" s="45" t="s">
        <v>116</v>
      </c>
    </row>
    <row r="6" spans="1:5">
      <c r="A6" s="6" t="s">
        <v>257</v>
      </c>
      <c r="B6" s="48">
        <v>7.6999999999999999E-2</v>
      </c>
      <c r="C6" s="48">
        <v>0.54500000000000004</v>
      </c>
    </row>
    <row r="7" spans="1:5">
      <c r="A7" s="6" t="s">
        <v>256</v>
      </c>
      <c r="B7" s="48">
        <v>4.8000000000000001E-2</v>
      </c>
      <c r="C7" s="48">
        <v>0.45500000000000002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14F4-8027-457A-A277-C25FC849669F}">
  <dimension ref="A1:E6"/>
  <sheetViews>
    <sheetView workbookViewId="0">
      <selection activeCell="O34" sqref="O34"/>
    </sheetView>
  </sheetViews>
  <sheetFormatPr baseColWidth="10" defaultColWidth="11.44140625" defaultRowHeight="14.4"/>
  <cols>
    <col min="1" max="1" width="31" style="6" customWidth="1"/>
    <col min="2" max="3" width="11.44140625" style="6"/>
    <col min="4" max="5" width="0" style="6" hidden="1" customWidth="1"/>
    <col min="6" max="16384" width="11.44140625" style="6"/>
  </cols>
  <sheetData>
    <row r="1" spans="1:5" ht="18.75" customHeight="1">
      <c r="A1" s="7" t="s">
        <v>82</v>
      </c>
      <c r="B1" s="7" t="s">
        <v>81</v>
      </c>
      <c r="D1" s="46" t="s">
        <v>168</v>
      </c>
      <c r="E1" s="46" t="s">
        <v>167</v>
      </c>
    </row>
    <row r="2" spans="1:5">
      <c r="D2" s="58">
        <v>42960</v>
      </c>
      <c r="E2" s="58">
        <v>26740</v>
      </c>
    </row>
    <row r="3" spans="1:5">
      <c r="D3" s="58">
        <v>131200</v>
      </c>
      <c r="E3" s="58">
        <v>84280</v>
      </c>
    </row>
    <row r="4" spans="1:5" ht="28.8">
      <c r="A4" s="4" t="s">
        <v>261</v>
      </c>
      <c r="B4" s="72" t="s">
        <v>117</v>
      </c>
      <c r="C4" s="72" t="s">
        <v>116</v>
      </c>
    </row>
    <row r="5" spans="1:5">
      <c r="A5" s="4" t="s">
        <v>260</v>
      </c>
      <c r="B5" s="71">
        <v>2.5999999999999999E-2</v>
      </c>
      <c r="C5" s="71">
        <v>0.223</v>
      </c>
    </row>
    <row r="6" spans="1:5">
      <c r="A6" s="4" t="s">
        <v>259</v>
      </c>
      <c r="B6" s="71">
        <v>9.6000000000000002E-2</v>
      </c>
      <c r="C6" s="71">
        <v>0.70199999999999996</v>
      </c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DE9F-486E-4E27-BA11-DC9944DB63FE}">
  <dimension ref="A1:D18"/>
  <sheetViews>
    <sheetView workbookViewId="0">
      <selection activeCell="G24" sqref="G24"/>
    </sheetView>
  </sheetViews>
  <sheetFormatPr baseColWidth="10" defaultColWidth="11.44140625" defaultRowHeight="14.4"/>
  <cols>
    <col min="1" max="1" width="11.44140625" style="6"/>
    <col min="2" max="2" width="39.44140625" style="6" customWidth="1"/>
    <col min="3" max="16384" width="11.44140625" style="6"/>
  </cols>
  <sheetData>
    <row r="1" spans="1:4" ht="27" customHeight="1">
      <c r="A1" s="7" t="s">
        <v>271</v>
      </c>
      <c r="B1" s="46" t="s">
        <v>79</v>
      </c>
    </row>
    <row r="3" spans="1:4">
      <c r="B3" s="7"/>
      <c r="C3" s="6" t="s">
        <v>270</v>
      </c>
      <c r="D3" s="6" t="s">
        <v>269</v>
      </c>
    </row>
    <row r="4" spans="1:4">
      <c r="A4" s="7" t="s">
        <v>258</v>
      </c>
      <c r="B4" s="6" t="s">
        <v>256</v>
      </c>
      <c r="C4" s="56">
        <v>0.43</v>
      </c>
      <c r="D4" s="59">
        <v>0.45500000000000002</v>
      </c>
    </row>
    <row r="5" spans="1:4">
      <c r="B5" s="6" t="s">
        <v>257</v>
      </c>
      <c r="C5" s="56">
        <v>0.56999999999999995</v>
      </c>
      <c r="D5" s="59">
        <v>0.54500000000000004</v>
      </c>
    </row>
    <row r="6" spans="1:4">
      <c r="A6" s="76" t="s">
        <v>268</v>
      </c>
      <c r="B6" s="75" t="s">
        <v>253</v>
      </c>
      <c r="C6" s="74">
        <v>0.38</v>
      </c>
      <c r="D6" s="55">
        <v>0.33</v>
      </c>
    </row>
    <row r="7" spans="1:4">
      <c r="B7" s="75" t="s">
        <v>252</v>
      </c>
      <c r="C7" s="74">
        <v>0.54</v>
      </c>
      <c r="D7" s="55">
        <v>0.55900000000000005</v>
      </c>
    </row>
    <row r="8" spans="1:4">
      <c r="B8" s="75" t="s">
        <v>254</v>
      </c>
      <c r="C8" s="74">
        <v>0.08</v>
      </c>
      <c r="D8" s="55">
        <v>0.11</v>
      </c>
    </row>
    <row r="9" spans="1:4">
      <c r="A9" s="7" t="s">
        <v>267</v>
      </c>
      <c r="B9" s="6" t="s">
        <v>266</v>
      </c>
      <c r="C9" s="56">
        <v>0.28999999999999998</v>
      </c>
      <c r="D9" s="73">
        <v>0.24</v>
      </c>
    </row>
    <row r="10" spans="1:4">
      <c r="B10" s="6" t="s">
        <v>265</v>
      </c>
      <c r="C10" s="56">
        <v>0.38</v>
      </c>
      <c r="D10" s="73">
        <v>0.38300000000000001</v>
      </c>
    </row>
    <row r="11" spans="1:4">
      <c r="B11" s="6" t="s">
        <v>264</v>
      </c>
      <c r="C11" s="56">
        <v>0.12</v>
      </c>
      <c r="D11" s="55">
        <v>0.14699999999999999</v>
      </c>
    </row>
    <row r="12" spans="1:4">
      <c r="B12" s="6" t="s">
        <v>263</v>
      </c>
      <c r="C12" s="56">
        <v>0.03</v>
      </c>
      <c r="D12" s="55">
        <v>3.4000000000000002E-2</v>
      </c>
    </row>
    <row r="13" spans="1:4">
      <c r="B13" s="6" t="s">
        <v>235</v>
      </c>
      <c r="C13" s="56">
        <v>0.18</v>
      </c>
      <c r="D13" s="55">
        <v>0.19600000000000001</v>
      </c>
    </row>
    <row r="14" spans="1:4">
      <c r="A14" s="6" t="s">
        <v>230</v>
      </c>
      <c r="B14" s="56" t="s">
        <v>229</v>
      </c>
      <c r="C14" s="55">
        <v>0.22</v>
      </c>
      <c r="D14" s="73">
        <v>0.30199999999999999</v>
      </c>
    </row>
    <row r="15" spans="1:4">
      <c r="B15" s="6" t="s">
        <v>228</v>
      </c>
      <c r="C15" s="55">
        <v>0.2</v>
      </c>
      <c r="D15" s="55">
        <v>0.185</v>
      </c>
    </row>
    <row r="16" spans="1:4">
      <c r="B16" s="6" t="s">
        <v>227</v>
      </c>
      <c r="C16" s="55">
        <v>0.35023662850646431</v>
      </c>
      <c r="D16" s="55">
        <v>0.32400000000000001</v>
      </c>
    </row>
    <row r="17" spans="2:4">
      <c r="B17" s="6" t="s">
        <v>226</v>
      </c>
      <c r="C17" s="55">
        <v>0.13698014435660841</v>
      </c>
      <c r="D17" s="55">
        <v>0.11700000000000001</v>
      </c>
    </row>
    <row r="18" spans="2:4">
      <c r="B18" s="6" t="s">
        <v>262</v>
      </c>
      <c r="C18" s="55">
        <v>8.843825185733549E-2</v>
      </c>
      <c r="D18" s="55">
        <v>7.1000000000000008E-2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549C-800D-403E-9271-DB40BCE97EED}">
  <dimension ref="A1:C32"/>
  <sheetViews>
    <sheetView workbookViewId="0">
      <selection activeCell="J13" sqref="J13"/>
    </sheetView>
  </sheetViews>
  <sheetFormatPr baseColWidth="10" defaultColWidth="11.44140625" defaultRowHeight="14.4"/>
  <cols>
    <col min="1" max="1" width="27.5546875" style="6" customWidth="1"/>
    <col min="2" max="16384" width="11.44140625" style="6"/>
  </cols>
  <sheetData>
    <row r="1" spans="1:3">
      <c r="A1" s="7" t="s">
        <v>273</v>
      </c>
    </row>
    <row r="2" spans="1:3">
      <c r="A2" s="7" t="s">
        <v>272</v>
      </c>
    </row>
    <row r="3" spans="1:3">
      <c r="A3" s="7" t="s">
        <v>157</v>
      </c>
      <c r="B3" s="7" t="s">
        <v>269</v>
      </c>
      <c r="C3" s="7" t="s">
        <v>270</v>
      </c>
    </row>
    <row r="4" spans="1:3">
      <c r="A4" s="6" t="s">
        <v>155</v>
      </c>
      <c r="B4" s="56">
        <v>0</v>
      </c>
    </row>
    <row r="5" spans="1:3">
      <c r="A5" s="6" t="s">
        <v>154</v>
      </c>
      <c r="B5" s="56">
        <v>0.04</v>
      </c>
      <c r="C5" s="77">
        <v>5.0999999999999997E-2</v>
      </c>
    </row>
    <row r="6" spans="1:3">
      <c r="A6" s="6" t="s">
        <v>153</v>
      </c>
      <c r="B6" s="56">
        <v>0.05</v>
      </c>
      <c r="C6" s="77">
        <v>5.6000000000000001E-2</v>
      </c>
    </row>
    <row r="7" spans="1:3">
      <c r="A7" s="6" t="s">
        <v>152</v>
      </c>
      <c r="B7" s="56">
        <v>0.05</v>
      </c>
      <c r="C7" s="77">
        <v>0.03</v>
      </c>
    </row>
    <row r="8" spans="1:3">
      <c r="A8" s="6" t="s">
        <v>151</v>
      </c>
      <c r="B8" s="56">
        <v>0.02</v>
      </c>
      <c r="C8" s="77">
        <v>2.3E-2</v>
      </c>
    </row>
    <row r="9" spans="1:3">
      <c r="A9" s="6" t="s">
        <v>150</v>
      </c>
      <c r="B9" s="56">
        <v>0.14000000000000001</v>
      </c>
      <c r="C9" s="77">
        <v>0.154</v>
      </c>
    </row>
    <row r="10" spans="1:3">
      <c r="A10" s="6" t="s">
        <v>149</v>
      </c>
      <c r="B10" s="56">
        <v>0.02</v>
      </c>
      <c r="C10" s="77">
        <v>2.7E-2</v>
      </c>
    </row>
    <row r="11" spans="1:3">
      <c r="A11" s="6" t="s">
        <v>148</v>
      </c>
      <c r="B11" s="56">
        <v>0.04</v>
      </c>
      <c r="C11" s="77">
        <v>3.2000000000000001E-2</v>
      </c>
    </row>
    <row r="12" spans="1:3">
      <c r="A12" s="6" t="s">
        <v>147</v>
      </c>
      <c r="B12" s="56">
        <v>0.01</v>
      </c>
      <c r="C12" s="77">
        <v>8.0000000000000002E-3</v>
      </c>
    </row>
    <row r="13" spans="1:3">
      <c r="A13" s="6" t="s">
        <v>146</v>
      </c>
      <c r="B13" s="56">
        <v>0</v>
      </c>
    </row>
    <row r="14" spans="1:3">
      <c r="A14" s="6" t="s">
        <v>145</v>
      </c>
      <c r="B14" s="56">
        <v>0.01</v>
      </c>
      <c r="C14" s="77">
        <v>1.2E-2</v>
      </c>
    </row>
    <row r="15" spans="1:3">
      <c r="A15" s="6" t="s">
        <v>144</v>
      </c>
      <c r="B15" s="56">
        <v>0.04</v>
      </c>
      <c r="C15" s="77">
        <v>3.6999999999999998E-2</v>
      </c>
    </row>
    <row r="16" spans="1:3">
      <c r="A16" s="6" t="s">
        <v>143</v>
      </c>
      <c r="B16" s="56">
        <v>0.13</v>
      </c>
      <c r="C16" s="77">
        <v>0.13400000000000001</v>
      </c>
    </row>
    <row r="17" spans="1:3">
      <c r="A17" s="6" t="s">
        <v>142</v>
      </c>
      <c r="B17" s="56">
        <v>0.02</v>
      </c>
      <c r="C17" s="77">
        <v>1.4999999999999999E-2</v>
      </c>
    </row>
    <row r="18" spans="1:3">
      <c r="A18" s="6" t="s">
        <v>141</v>
      </c>
      <c r="B18" s="56">
        <v>0.04</v>
      </c>
      <c r="C18" s="77">
        <v>2.9000000000000001E-2</v>
      </c>
    </row>
    <row r="19" spans="1:3">
      <c r="A19" s="6" t="s">
        <v>140</v>
      </c>
      <c r="B19" s="56">
        <v>0.01</v>
      </c>
      <c r="C19" s="77">
        <v>1.2999999999999999E-2</v>
      </c>
    </row>
    <row r="20" spans="1:3">
      <c r="A20" s="6" t="s">
        <v>139</v>
      </c>
      <c r="B20" s="56">
        <v>0</v>
      </c>
    </row>
    <row r="21" spans="1:3">
      <c r="A21" s="6" t="s">
        <v>138</v>
      </c>
      <c r="B21" s="56">
        <v>0.02</v>
      </c>
      <c r="C21" s="77">
        <v>6.0000000000000001E-3</v>
      </c>
    </row>
    <row r="22" spans="1:3">
      <c r="A22" s="6" t="s">
        <v>137</v>
      </c>
      <c r="B22" s="56">
        <v>0.01</v>
      </c>
      <c r="C22" s="77">
        <v>2.1000000000000001E-2</v>
      </c>
    </row>
    <row r="23" spans="1:3">
      <c r="A23" s="6" t="s">
        <v>136</v>
      </c>
      <c r="B23" s="56">
        <v>0.01</v>
      </c>
      <c r="C23" s="77">
        <v>5.0000000000000001E-3</v>
      </c>
    </row>
    <row r="24" spans="1:3">
      <c r="A24" s="6" t="s">
        <v>135</v>
      </c>
      <c r="B24" s="56">
        <v>0</v>
      </c>
    </row>
    <row r="25" spans="1:3">
      <c r="A25" s="6" t="s">
        <v>134</v>
      </c>
      <c r="B25" s="56">
        <v>0.05</v>
      </c>
      <c r="C25" s="77">
        <v>0.05</v>
      </c>
    </row>
    <row r="26" spans="1:3">
      <c r="A26" s="6" t="s">
        <v>133</v>
      </c>
      <c r="B26" s="56">
        <v>0.18</v>
      </c>
      <c r="C26" s="77">
        <v>0.17299999999999999</v>
      </c>
    </row>
    <row r="27" spans="1:3">
      <c r="A27" s="6" t="s">
        <v>132</v>
      </c>
      <c r="B27" s="56">
        <v>0.02</v>
      </c>
      <c r="C27" s="77">
        <v>2.9000000000000001E-2</v>
      </c>
    </row>
    <row r="28" spans="1:3">
      <c r="A28" s="6" t="s">
        <v>131</v>
      </c>
      <c r="B28" s="56">
        <v>0.03</v>
      </c>
      <c r="C28" s="77">
        <v>2.4E-2</v>
      </c>
    </row>
    <row r="29" spans="1:3">
      <c r="A29" s="6" t="s">
        <v>130</v>
      </c>
      <c r="B29" s="56">
        <v>0.01</v>
      </c>
      <c r="C29" s="77">
        <v>4.0000000000000001E-3</v>
      </c>
    </row>
    <row r="30" spans="1:3">
      <c r="A30" s="6" t="s">
        <v>129</v>
      </c>
      <c r="B30" s="56">
        <v>0.02</v>
      </c>
      <c r="C30" s="77">
        <v>3.3000000000000002E-2</v>
      </c>
    </row>
    <row r="31" spans="1:3">
      <c r="A31" s="6" t="s">
        <v>128</v>
      </c>
      <c r="B31" s="56">
        <v>0</v>
      </c>
      <c r="C31" s="77">
        <v>3.0000000000000001E-3</v>
      </c>
    </row>
    <row r="32" spans="1:3">
      <c r="A32" s="6" t="s">
        <v>127</v>
      </c>
      <c r="B32" s="56">
        <v>0.04</v>
      </c>
      <c r="C32" s="56">
        <v>0.03</v>
      </c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F2C6-D4E8-496B-9E4C-E053E02FFECB}">
  <dimension ref="A1:H100"/>
  <sheetViews>
    <sheetView topLeftCell="A17" zoomScale="112" zoomScaleNormal="112" zoomScaleSheetLayoutView="70" workbookViewId="0">
      <selection activeCell="K26" sqref="K26"/>
    </sheetView>
  </sheetViews>
  <sheetFormatPr baseColWidth="10" defaultColWidth="9.109375" defaultRowHeight="14.4"/>
  <cols>
    <col min="1" max="1" width="20.33203125" style="78" customWidth="1"/>
    <col min="2" max="16384" width="9.109375" style="78"/>
  </cols>
  <sheetData>
    <row r="1" spans="1:8">
      <c r="A1" s="87" t="s">
        <v>289</v>
      </c>
      <c r="B1" s="7" t="s">
        <v>275</v>
      </c>
    </row>
    <row r="6" spans="1:8">
      <c r="A6" s="78" t="s">
        <v>7</v>
      </c>
      <c r="B6" s="78" t="s">
        <v>288</v>
      </c>
      <c r="C6" s="78" t="s">
        <v>287</v>
      </c>
      <c r="D6" s="78" t="s">
        <v>286</v>
      </c>
      <c r="E6" s="78" t="s">
        <v>285</v>
      </c>
      <c r="F6" s="78" t="s">
        <v>284</v>
      </c>
    </row>
    <row r="7" spans="1:8">
      <c r="A7" s="81">
        <v>1995</v>
      </c>
      <c r="B7" s="82">
        <f>0.848059654235839*100</f>
        <v>84.805965423583899</v>
      </c>
      <c r="C7" s="82">
        <f>0.0444540157914162*100</f>
        <v>4.4454015791416204</v>
      </c>
      <c r="D7" s="82">
        <f>0.00441800989210606*100</f>
        <v>0.44180098921060595</v>
      </c>
      <c r="E7" s="82"/>
      <c r="F7" s="82"/>
      <c r="G7" s="79"/>
      <c r="H7" s="83"/>
    </row>
    <row r="8" spans="1:8">
      <c r="A8" s="81">
        <v>1996</v>
      </c>
      <c r="B8" s="82">
        <f>0.856135725975036*100</f>
        <v>85.613572597503591</v>
      </c>
      <c r="C8" s="82">
        <f>0.0426463708281517*100</f>
        <v>4.2646370828151703</v>
      </c>
      <c r="D8" s="82">
        <f>0.0054667005315423*100</f>
        <v>0.54667005315423001</v>
      </c>
      <c r="E8" s="82"/>
      <c r="F8" s="82"/>
      <c r="G8" s="79"/>
      <c r="H8" s="83"/>
    </row>
    <row r="9" spans="1:8">
      <c r="A9" s="81">
        <v>1997</v>
      </c>
      <c r="B9" s="82">
        <f>0.853593111038208*100</f>
        <v>85.359311103820801</v>
      </c>
      <c r="C9" s="82">
        <f>0.0475923307240009*100</f>
        <v>4.7592330724000904</v>
      </c>
      <c r="D9" s="82">
        <f>0.00645163329318166*100</f>
        <v>0.645163329318166</v>
      </c>
      <c r="E9" s="82"/>
      <c r="F9" s="82"/>
      <c r="G9" s="79"/>
      <c r="H9" s="83"/>
    </row>
    <row r="10" spans="1:8">
      <c r="A10" s="81">
        <v>1998</v>
      </c>
      <c r="B10" s="82">
        <f>0.856192111968994*100</f>
        <v>85.6192111968994</v>
      </c>
      <c r="C10" s="82">
        <f>0.0479151755571365*100</f>
        <v>4.79151755571365</v>
      </c>
      <c r="D10" s="82">
        <f>0.00759440148249269*100</f>
        <v>0.75944014824926898</v>
      </c>
      <c r="E10" s="82"/>
      <c r="F10" s="82"/>
      <c r="G10" s="79"/>
      <c r="H10" s="83"/>
    </row>
    <row r="11" spans="1:8">
      <c r="A11" s="81">
        <v>1999</v>
      </c>
      <c r="B11" s="82">
        <f>0.865036904811859*100</f>
        <v>86.503690481185899</v>
      </c>
      <c r="C11" s="82">
        <f>0.0415105037391186*100</f>
        <v>4.1510503739118594</v>
      </c>
      <c r="D11" s="82">
        <f>0.00758562562987208*100</f>
        <v>0.75856256298720803</v>
      </c>
      <c r="E11" s="82"/>
      <c r="F11" s="82"/>
      <c r="G11" s="79"/>
      <c r="H11" s="83"/>
    </row>
    <row r="12" spans="1:8">
      <c r="A12" s="81">
        <v>2000</v>
      </c>
      <c r="B12" s="82">
        <f>0.858615934848785*100</f>
        <v>85.861593484878497</v>
      </c>
      <c r="C12" s="82">
        <f>0.0480768345296383*100</f>
        <v>4.8076834529638299</v>
      </c>
      <c r="D12" s="82">
        <f>0.00858338829129934*100</f>
        <v>0.85833882912993398</v>
      </c>
      <c r="E12" s="82"/>
      <c r="F12" s="82"/>
      <c r="G12" s="79"/>
      <c r="H12" s="83"/>
    </row>
    <row r="13" spans="1:8">
      <c r="A13" s="81">
        <v>2001</v>
      </c>
      <c r="B13" s="82">
        <f>0.863780975341796*100</f>
        <v>86.378097534179602</v>
      </c>
      <c r="C13" s="82">
        <f>0.0439992658793926*100</f>
        <v>4.3999265879392606</v>
      </c>
      <c r="D13" s="82">
        <f>0.00868159160017967*100</f>
        <v>0.868159160017967</v>
      </c>
      <c r="E13" s="82"/>
      <c r="F13" s="82"/>
      <c r="G13" s="79"/>
      <c r="H13" s="83"/>
    </row>
    <row r="14" spans="1:8">
      <c r="A14" s="81">
        <v>2002</v>
      </c>
      <c r="B14" s="82">
        <f>0.866567134857177*100</f>
        <v>86.656713485717702</v>
      </c>
      <c r="C14" s="82">
        <f>0.0424714125692844*100</f>
        <v>4.2471412569284395</v>
      </c>
      <c r="D14" s="82">
        <f>0.00834815483540297*100</f>
        <v>0.83481548354029711</v>
      </c>
      <c r="E14" s="82">
        <f>0.0578245408833027*100</f>
        <v>5.7824540883302706</v>
      </c>
      <c r="F14" s="82"/>
      <c r="G14" s="84"/>
      <c r="H14" s="83"/>
    </row>
    <row r="15" spans="1:8">
      <c r="A15" s="81">
        <v>2003</v>
      </c>
      <c r="B15" s="82">
        <f>0.873595416545867*100</f>
        <v>87.359541654586707</v>
      </c>
      <c r="C15" s="82">
        <f>0.0409654229879379*100</f>
        <v>4.0965422987937901</v>
      </c>
      <c r="D15" s="82">
        <f>0.00686935475096107*100</f>
        <v>0.68693547509610697</v>
      </c>
      <c r="E15" s="82">
        <f>0.0557819083333015*100</f>
        <v>5.57819083333015</v>
      </c>
      <c r="F15" s="82"/>
      <c r="G15" s="84"/>
      <c r="H15" s="83"/>
    </row>
    <row r="16" spans="1:8">
      <c r="A16" s="81">
        <v>2004</v>
      </c>
      <c r="B16" s="82">
        <f>0.872112929821014*100</f>
        <v>87.211292982101398</v>
      </c>
      <c r="C16" s="82">
        <f>0.0391928143799305*100</f>
        <v>3.9192814379930505</v>
      </c>
      <c r="D16" s="82">
        <f>0.00842978991568089*100</f>
        <v>0.84297899156808909</v>
      </c>
      <c r="E16" s="82">
        <f>0.0570913404226303*100</f>
        <v>5.7091340422630301</v>
      </c>
      <c r="F16" s="82"/>
      <c r="G16" s="84"/>
      <c r="H16" s="83"/>
    </row>
    <row r="17" spans="1:8">
      <c r="A17" s="81">
        <v>2005</v>
      </c>
      <c r="B17" s="82">
        <f>0.873695492744445*100</f>
        <v>87.369549274444509</v>
      </c>
      <c r="C17" s="82">
        <f>0.0390043221414089*100</f>
        <v>3.9004322141408898</v>
      </c>
      <c r="D17" s="82">
        <f>0.00723192794248462*100</f>
        <v>0.72319279424846195</v>
      </c>
      <c r="E17" s="82">
        <f>0.0579776875674725*100</f>
        <v>5.7977687567472502</v>
      </c>
      <c r="F17" s="82"/>
      <c r="G17" s="84"/>
      <c r="H17" s="83"/>
    </row>
    <row r="18" spans="1:8">
      <c r="A18" s="81">
        <v>2006</v>
      </c>
      <c r="B18" s="82">
        <f>0.869678258895874*100</f>
        <v>86.967825889587402</v>
      </c>
      <c r="C18" s="82">
        <f>0.0440990254282951*100</f>
        <v>4.40990254282951</v>
      </c>
      <c r="D18" s="82">
        <f>0.0106925778090954*100</f>
        <v>1.06925778090954</v>
      </c>
      <c r="E18" s="82">
        <f>0.0550156310200691*100</f>
        <v>5.5015631020069105</v>
      </c>
      <c r="F18" s="82"/>
      <c r="G18" s="84"/>
      <c r="H18" s="83"/>
    </row>
    <row r="19" spans="1:8">
      <c r="A19" s="81">
        <v>2007</v>
      </c>
      <c r="B19" s="82">
        <f>0.867790639400482*100</f>
        <v>86.779063940048189</v>
      </c>
      <c r="C19" s="82">
        <f>0.046126302331686*100</f>
        <v>4.6126302331686002</v>
      </c>
      <c r="D19" s="82">
        <f>0.0136944791302085*100</f>
        <v>1.3694479130208499</v>
      </c>
      <c r="E19" s="82">
        <f>0.0527113042771816*100</f>
        <v>5.2711304277181599</v>
      </c>
      <c r="F19" s="82"/>
      <c r="G19" s="84"/>
      <c r="H19" s="83"/>
    </row>
    <row r="20" spans="1:8">
      <c r="A20" s="81">
        <v>2008</v>
      </c>
      <c r="B20" s="82">
        <f>0.871515214443206*100</f>
        <v>87.151521444320608</v>
      </c>
      <c r="C20" s="82">
        <f>0.0444531589746475*100</f>
        <v>4.4453158974647504</v>
      </c>
      <c r="D20" s="82">
        <f>0.0149609660729766*100</f>
        <v>1.49609660729766</v>
      </c>
      <c r="E20" s="82">
        <f>0.0499360375106335*100</f>
        <v>4.9936037510633504</v>
      </c>
      <c r="F20" s="82"/>
      <c r="G20" s="84"/>
      <c r="H20" s="83"/>
    </row>
    <row r="21" spans="1:8">
      <c r="A21" s="81">
        <v>2009</v>
      </c>
      <c r="B21" s="82">
        <f>0.879698514938354*100</f>
        <v>87.969851493835407</v>
      </c>
      <c r="C21" s="82">
        <f>0.041795514523983*100</f>
        <v>4.1795514523983002</v>
      </c>
      <c r="D21" s="82">
        <f>0.011329697445035*100</f>
        <v>1.1329697445035001</v>
      </c>
      <c r="E21" s="82">
        <f>0.0487722121179104*100</f>
        <v>4.8772212117910403</v>
      </c>
      <c r="F21" s="82"/>
      <c r="G21" s="84"/>
      <c r="H21" s="83"/>
    </row>
    <row r="22" spans="1:8">
      <c r="A22" s="81">
        <v>2010</v>
      </c>
      <c r="B22" s="82">
        <f>0.880117118358612*100</f>
        <v>88.011711835861192</v>
      </c>
      <c r="C22" s="82">
        <f>0.0425142385065556*100</f>
        <v>4.2514238506555602</v>
      </c>
      <c r="D22" s="82">
        <f>0.010967006906867*100</f>
        <v>1.0967006906867001</v>
      </c>
      <c r="E22" s="82">
        <f>0.0482343696057796*100</f>
        <v>4.8234369605779603</v>
      </c>
      <c r="F22" s="82"/>
      <c r="G22" s="84"/>
      <c r="H22" s="83"/>
    </row>
    <row r="23" spans="1:8">
      <c r="A23" s="81">
        <v>2011</v>
      </c>
      <c r="B23" s="82">
        <f>0.877862989902496*100</f>
        <v>87.786298990249605</v>
      </c>
      <c r="C23" s="82">
        <f>0.0454334206879139*100</f>
        <v>4.5433420687913904</v>
      </c>
      <c r="D23" s="82">
        <f>0.0128337005153298*100</f>
        <v>1.28337005153298</v>
      </c>
      <c r="E23" s="82">
        <f>0.047205962240696*100</f>
        <v>4.7205962240695998</v>
      </c>
      <c r="F23" s="82"/>
      <c r="G23" s="84"/>
      <c r="H23" s="83"/>
    </row>
    <row r="24" spans="1:8">
      <c r="A24" s="81">
        <v>2012</v>
      </c>
      <c r="B24" s="82">
        <f>0.879495203495025*100</f>
        <v>87.949520349502492</v>
      </c>
      <c r="C24" s="82">
        <f>0.0450223758816719*100</f>
        <v>4.5022375881671897</v>
      </c>
      <c r="D24" s="82">
        <f>0.0147396763786674*100</f>
        <v>1.4739676378667399</v>
      </c>
      <c r="E24" s="82">
        <f>0.0448899231851101*100</f>
        <v>4.4889923185110101</v>
      </c>
      <c r="F24" s="82"/>
      <c r="G24" s="84"/>
      <c r="H24" s="83"/>
    </row>
    <row r="25" spans="1:8">
      <c r="A25" s="81">
        <v>2013</v>
      </c>
      <c r="B25" s="82">
        <f>0.889424860477447*100</f>
        <v>88.942486047744694</v>
      </c>
      <c r="C25" s="82">
        <f>0.0383831225335598*100</f>
        <v>3.8383122533559799</v>
      </c>
      <c r="D25" s="82">
        <f>0.0144443958997726*100</f>
        <v>1.44443958997726</v>
      </c>
      <c r="E25" s="82">
        <f>0.0424295179545879*100</f>
        <v>4.2429517954587901</v>
      </c>
      <c r="F25" s="82"/>
      <c r="G25" s="84"/>
      <c r="H25" s="83"/>
    </row>
    <row r="26" spans="1:8">
      <c r="A26" s="81">
        <v>2014</v>
      </c>
      <c r="B26" s="82">
        <f>0.886287987232208*100</f>
        <v>88.628798723220797</v>
      </c>
      <c r="C26" s="82">
        <f>0.0432115383446217*100</f>
        <v>4.3211538344621703</v>
      </c>
      <c r="D26" s="82">
        <f>0.0144664850085974*100</f>
        <v>1.4466485008597401</v>
      </c>
      <c r="E26" s="82">
        <f>0.0407964140176773*100</f>
        <v>4.0796414017677298</v>
      </c>
      <c r="F26" s="82"/>
      <c r="G26" s="84"/>
      <c r="H26" s="83"/>
    </row>
    <row r="27" spans="1:8">
      <c r="A27" s="81">
        <v>2015</v>
      </c>
      <c r="B27" s="82">
        <f>0.888926923274993*100</f>
        <v>88.892692327499304</v>
      </c>
      <c r="C27" s="82">
        <f>0.0444939732551575*100</f>
        <v>4.4493973255157497</v>
      </c>
      <c r="D27" s="82">
        <f>0.0114718861877918*100</f>
        <v>1.14718861877918</v>
      </c>
      <c r="E27" s="82">
        <f>0.0400133058428764*100</f>
        <v>4.0013305842876399</v>
      </c>
      <c r="F27" s="82"/>
      <c r="G27" s="84"/>
      <c r="H27" s="83"/>
    </row>
    <row r="28" spans="1:8">
      <c r="B28" s="86"/>
      <c r="C28" s="86"/>
      <c r="D28" s="86"/>
      <c r="E28" s="86"/>
      <c r="F28" s="86"/>
      <c r="G28" s="84"/>
      <c r="H28" s="83"/>
    </row>
    <row r="29" spans="1:8">
      <c r="A29" s="81">
        <v>2016</v>
      </c>
      <c r="B29" s="82">
        <f>0.88894110918045*100</f>
        <v>88.894110918045001</v>
      </c>
      <c r="C29" s="82">
        <f>0.0449240133166313*100</f>
        <v>4.4924013316631299</v>
      </c>
      <c r="D29" s="82">
        <f>0.0123647833243012*100</f>
        <v>1.2364783324301198</v>
      </c>
      <c r="E29" s="82">
        <f>0.0387025773525238*100</f>
        <v>3.8702577352523795</v>
      </c>
      <c r="F29" s="82"/>
      <c r="G29" s="84"/>
      <c r="H29" s="83"/>
    </row>
    <row r="30" spans="1:8">
      <c r="A30" s="81">
        <v>2017</v>
      </c>
      <c r="B30" s="82">
        <f>0.887243211269378*100</f>
        <v>88.724321126937795</v>
      </c>
      <c r="C30" s="82">
        <f>0.0465367287397385*100</f>
        <v>4.65367287397385</v>
      </c>
      <c r="D30" s="82">
        <f>0.013464299030602*100</f>
        <v>1.3464299030602001</v>
      </c>
      <c r="E30" s="82">
        <f>0.0374586135149002*100</f>
        <v>3.7458613514900199</v>
      </c>
      <c r="F30" s="82"/>
      <c r="G30" s="84"/>
      <c r="H30" s="83"/>
    </row>
    <row r="31" spans="1:8">
      <c r="A31" s="81">
        <v>2018</v>
      </c>
      <c r="B31" s="82">
        <f>0.888095796108245*100</f>
        <v>88.8095796108245</v>
      </c>
      <c r="C31" s="82">
        <f>0.0462324284017086*100</f>
        <v>4.6232428401708603</v>
      </c>
      <c r="D31" s="82">
        <f>0.0145203052088618*100</f>
        <v>1.4520305208861801</v>
      </c>
      <c r="E31" s="82">
        <f>0.0360541082918644*100</f>
        <v>3.6054108291864404</v>
      </c>
      <c r="F31" s="82"/>
      <c r="G31" s="84"/>
      <c r="H31" s="83"/>
    </row>
    <row r="32" spans="1:8">
      <c r="A32" s="81">
        <v>2019</v>
      </c>
      <c r="B32" s="85">
        <f>0.887518107891082*100</f>
        <v>88.751810789108205</v>
      </c>
      <c r="C32" s="85">
        <f>0.0488387234508991*100</f>
        <v>4.8838723450899106</v>
      </c>
      <c r="D32" s="85">
        <f>0.0134735116735101*100</f>
        <v>1.3473511673510101</v>
      </c>
      <c r="E32" s="85">
        <f>0.0351811982691288*100</f>
        <v>3.5181198269128799</v>
      </c>
      <c r="F32" s="85"/>
      <c r="G32" s="84"/>
      <c r="H32" s="83"/>
    </row>
    <row r="33" spans="1:8">
      <c r="A33" s="81">
        <v>2020</v>
      </c>
      <c r="B33" s="82">
        <f>0.896438598632812*100</f>
        <v>89.643859863281193</v>
      </c>
      <c r="C33" s="82">
        <f>0.0430486798286438*100</f>
        <v>4.3048679828643799</v>
      </c>
      <c r="D33" s="82">
        <f>0.0121713960543275*100</f>
        <v>1.2171396054327499</v>
      </c>
      <c r="E33" s="82">
        <f>0.0331781357526779*100</f>
        <v>3.3178135752677895</v>
      </c>
      <c r="F33" s="82"/>
      <c r="G33" s="84"/>
      <c r="H33" s="83"/>
    </row>
    <row r="34" spans="1:8">
      <c r="A34" s="81">
        <v>2021</v>
      </c>
      <c r="B34" s="82">
        <f>0.899071633815765*100</f>
        <v>89.90716338157651</v>
      </c>
      <c r="C34" s="82">
        <f>0.0404354482889175*100</f>
        <v>4.0435448288917497</v>
      </c>
      <c r="D34" s="82">
        <f>0.0131837697699666*100</f>
        <v>1.31837697699666</v>
      </c>
      <c r="E34" s="82">
        <f>0.0323021747171879*100</f>
        <v>3.2302174717187904</v>
      </c>
      <c r="F34" s="82">
        <f>0.0812624990940094*100</f>
        <v>8.1262499094009399</v>
      </c>
      <c r="G34" s="84"/>
      <c r="H34" s="83"/>
    </row>
    <row r="35" spans="1:8">
      <c r="A35" s="81">
        <v>2022</v>
      </c>
      <c r="B35" s="82"/>
      <c r="C35" s="82"/>
      <c r="D35" s="82">
        <f>0.0129932714626193*100</f>
        <v>1.29932714626193</v>
      </c>
      <c r="E35" s="82"/>
      <c r="F35" s="82">
        <f>0.0820288509130478*100</f>
        <v>8.2028850913047808</v>
      </c>
      <c r="G35" s="79"/>
    </row>
    <row r="73" spans="1:7">
      <c r="A73" s="81"/>
      <c r="B73" s="80"/>
      <c r="C73" s="80"/>
      <c r="D73" s="80"/>
      <c r="E73" s="80"/>
      <c r="F73" s="80"/>
      <c r="G73" s="79"/>
    </row>
    <row r="74" spans="1:7">
      <c r="A74" s="81"/>
      <c r="B74" s="80"/>
      <c r="C74" s="80"/>
      <c r="D74" s="80"/>
      <c r="E74" s="80"/>
      <c r="F74" s="80"/>
      <c r="G74" s="79"/>
    </row>
    <row r="75" spans="1:7">
      <c r="A75" s="81"/>
      <c r="B75" s="80"/>
      <c r="C75" s="80"/>
      <c r="D75" s="80"/>
      <c r="E75" s="80"/>
      <c r="F75" s="80"/>
      <c r="G75" s="79"/>
    </row>
    <row r="76" spans="1:7">
      <c r="A76" s="81"/>
      <c r="B76" s="80"/>
      <c r="C76" s="80"/>
      <c r="D76" s="80"/>
      <c r="E76" s="80"/>
      <c r="F76" s="80"/>
      <c r="G76" s="79"/>
    </row>
    <row r="77" spans="1:7">
      <c r="A77" s="81"/>
      <c r="B77" s="80"/>
      <c r="C77" s="80"/>
      <c r="D77" s="80"/>
      <c r="E77" s="80"/>
      <c r="F77" s="80"/>
      <c r="G77" s="79"/>
    </row>
    <row r="78" spans="1:7">
      <c r="A78" s="81"/>
      <c r="B78" s="80"/>
      <c r="C78" s="80"/>
      <c r="D78" s="80"/>
      <c r="E78" s="80"/>
      <c r="F78" s="80"/>
      <c r="G78" s="79"/>
    </row>
    <row r="79" spans="1:7">
      <c r="A79" s="81"/>
      <c r="B79" s="80"/>
      <c r="C79" s="80"/>
      <c r="D79" s="80"/>
      <c r="E79" s="80"/>
      <c r="F79" s="80"/>
      <c r="G79" s="79"/>
    </row>
    <row r="80" spans="1:7">
      <c r="A80" s="81"/>
      <c r="B80" s="80"/>
      <c r="C80" s="80"/>
      <c r="D80" s="80"/>
      <c r="E80" s="80"/>
      <c r="F80" s="80"/>
      <c r="G80" s="79"/>
    </row>
    <row r="81" spans="1:7">
      <c r="A81" s="81"/>
      <c r="B81" s="80"/>
      <c r="C81" s="80"/>
      <c r="D81" s="80"/>
      <c r="E81" s="80"/>
      <c r="F81" s="80"/>
      <c r="G81" s="79"/>
    </row>
    <row r="82" spans="1:7">
      <c r="A82" s="81"/>
      <c r="B82" s="80"/>
      <c r="C82" s="80"/>
      <c r="D82" s="80"/>
      <c r="E82" s="80"/>
      <c r="F82" s="80"/>
      <c r="G82" s="79"/>
    </row>
    <row r="83" spans="1:7">
      <c r="A83" s="81"/>
      <c r="B83" s="80"/>
      <c r="C83" s="80"/>
      <c r="D83" s="80"/>
      <c r="E83" s="80"/>
      <c r="F83" s="80"/>
      <c r="G83" s="79"/>
    </row>
    <row r="84" spans="1:7">
      <c r="A84" s="81"/>
      <c r="B84" s="80"/>
      <c r="C84" s="80"/>
      <c r="D84" s="80"/>
      <c r="E84" s="80"/>
      <c r="F84" s="80"/>
      <c r="G84" s="79"/>
    </row>
    <row r="85" spans="1:7">
      <c r="A85" s="81"/>
      <c r="B85" s="80"/>
      <c r="C85" s="80"/>
      <c r="D85" s="80"/>
      <c r="E85" s="80"/>
      <c r="F85" s="80"/>
      <c r="G85" s="79"/>
    </row>
    <row r="86" spans="1:7">
      <c r="A86" s="81"/>
      <c r="B86" s="80"/>
      <c r="C86" s="80"/>
      <c r="D86" s="80"/>
      <c r="E86" s="80"/>
      <c r="F86" s="80"/>
      <c r="G86" s="79"/>
    </row>
    <row r="87" spans="1:7">
      <c r="A87" s="81"/>
      <c r="B87" s="80"/>
      <c r="C87" s="80"/>
      <c r="D87" s="80"/>
      <c r="E87" s="80"/>
      <c r="F87" s="80"/>
      <c r="G87" s="79"/>
    </row>
    <row r="88" spans="1:7">
      <c r="A88" s="81"/>
      <c r="B88" s="80"/>
      <c r="C88" s="80"/>
      <c r="D88" s="80"/>
      <c r="E88" s="80"/>
      <c r="F88" s="80"/>
      <c r="G88" s="79"/>
    </row>
    <row r="89" spans="1:7">
      <c r="A89" s="81"/>
      <c r="B89" s="80"/>
      <c r="C89" s="80"/>
      <c r="D89" s="80"/>
      <c r="E89" s="80"/>
      <c r="F89" s="80"/>
      <c r="G89" s="79"/>
    </row>
    <row r="90" spans="1:7">
      <c r="A90" s="81"/>
      <c r="B90" s="80"/>
      <c r="C90" s="80"/>
      <c r="D90" s="80"/>
      <c r="E90" s="80"/>
      <c r="F90" s="80"/>
      <c r="G90" s="79"/>
    </row>
    <row r="91" spans="1:7">
      <c r="A91" s="81"/>
      <c r="B91" s="80"/>
      <c r="C91" s="80"/>
      <c r="D91" s="80"/>
      <c r="E91" s="80"/>
      <c r="F91" s="80"/>
      <c r="G91" s="79"/>
    </row>
    <row r="92" spans="1:7">
      <c r="A92" s="81"/>
      <c r="B92" s="80"/>
      <c r="C92" s="80"/>
      <c r="D92" s="80"/>
      <c r="E92" s="80"/>
      <c r="F92" s="80"/>
      <c r="G92" s="79"/>
    </row>
    <row r="93" spans="1:7">
      <c r="A93" s="81"/>
      <c r="B93" s="80"/>
      <c r="C93" s="80"/>
      <c r="D93" s="80"/>
      <c r="E93" s="80"/>
      <c r="F93" s="80"/>
      <c r="G93" s="79"/>
    </row>
    <row r="94" spans="1:7">
      <c r="A94" s="81"/>
      <c r="B94" s="80"/>
      <c r="C94" s="80"/>
      <c r="D94" s="80"/>
      <c r="E94" s="80"/>
      <c r="F94" s="80"/>
      <c r="G94" s="79"/>
    </row>
    <row r="95" spans="1:7">
      <c r="A95" s="81"/>
      <c r="B95" s="80"/>
      <c r="C95" s="80"/>
      <c r="D95" s="80"/>
      <c r="E95" s="80"/>
      <c r="F95" s="80"/>
      <c r="G95" s="79"/>
    </row>
    <row r="96" spans="1:7">
      <c r="A96" s="81"/>
      <c r="B96" s="80"/>
      <c r="C96" s="80"/>
      <c r="D96" s="80"/>
      <c r="E96" s="80"/>
      <c r="F96" s="80"/>
      <c r="G96" s="79"/>
    </row>
    <row r="97" spans="1:7">
      <c r="A97" s="81"/>
      <c r="B97" s="55"/>
      <c r="C97" s="55"/>
      <c r="D97" s="55"/>
      <c r="E97" s="55"/>
      <c r="F97" s="55"/>
      <c r="G97" s="79"/>
    </row>
    <row r="98" spans="1:7">
      <c r="A98" s="81"/>
      <c r="B98" s="80"/>
      <c r="C98" s="80"/>
      <c r="D98" s="80"/>
      <c r="E98" s="80"/>
      <c r="F98" s="80"/>
      <c r="G98" s="79"/>
    </row>
    <row r="99" spans="1:7">
      <c r="A99" s="81"/>
      <c r="B99" s="80"/>
      <c r="C99" s="80"/>
      <c r="D99" s="80"/>
      <c r="E99" s="80"/>
      <c r="F99" s="80"/>
      <c r="G99" s="79"/>
    </row>
    <row r="100" spans="1:7">
      <c r="A100" s="81"/>
      <c r="B100" s="80"/>
      <c r="C100" s="80"/>
      <c r="D100" s="80"/>
      <c r="E100" s="80"/>
      <c r="F100" s="80"/>
      <c r="G100" s="79"/>
    </row>
  </sheetData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82F8-2E05-41CF-94C4-F7D6B05D4931}">
  <dimension ref="A1:C7"/>
  <sheetViews>
    <sheetView workbookViewId="0">
      <selection activeCell="L34" sqref="L34"/>
    </sheetView>
  </sheetViews>
  <sheetFormatPr baseColWidth="10" defaultColWidth="11.44140625" defaultRowHeight="14.4"/>
  <cols>
    <col min="1" max="16384" width="11.44140625" style="6"/>
  </cols>
  <sheetData>
    <row r="1" spans="1:3">
      <c r="A1" s="7" t="s">
        <v>276</v>
      </c>
      <c r="B1" s="7" t="s">
        <v>277</v>
      </c>
    </row>
    <row r="3" spans="1:3" ht="28.8">
      <c r="A3" s="6" t="s">
        <v>293</v>
      </c>
      <c r="B3" s="45" t="s">
        <v>117</v>
      </c>
      <c r="C3" s="45" t="s">
        <v>116</v>
      </c>
    </row>
    <row r="4" spans="1:3">
      <c r="A4" s="6" t="s">
        <v>292</v>
      </c>
      <c r="B4" s="48">
        <v>0.06</v>
      </c>
      <c r="C4" s="48">
        <v>1</v>
      </c>
    </row>
    <row r="5" spans="1:3">
      <c r="A5" s="6" t="s">
        <v>291</v>
      </c>
      <c r="B5" s="48">
        <v>0.11291460832745237</v>
      </c>
      <c r="C5" s="48">
        <v>3.9970022483137649E-2</v>
      </c>
    </row>
    <row r="6" spans="1:3">
      <c r="A6" s="6" t="s">
        <v>290</v>
      </c>
      <c r="B6" s="48">
        <v>0.20699999999999999</v>
      </c>
      <c r="C6" s="48">
        <v>0.27100000000000002</v>
      </c>
    </row>
    <row r="7" spans="1:3">
      <c r="A7" s="6" t="s">
        <v>288</v>
      </c>
      <c r="B7" s="48">
        <v>4.7E-2</v>
      </c>
      <c r="C7" s="48">
        <v>0.71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58E4-5520-48C7-9B23-DC95FA8FD464}">
  <dimension ref="A1:F31"/>
  <sheetViews>
    <sheetView workbookViewId="0">
      <selection activeCell="E42" sqref="E42"/>
    </sheetView>
  </sheetViews>
  <sheetFormatPr baseColWidth="10" defaultColWidth="11.44140625" defaultRowHeight="14.4"/>
  <cols>
    <col min="1" max="2" width="11.44140625" style="6"/>
    <col min="3" max="3" width="21.44140625" style="6" bestFit="1" customWidth="1"/>
    <col min="4" max="16384" width="11.44140625" style="6"/>
  </cols>
  <sheetData>
    <row r="1" spans="1:6">
      <c r="A1" s="7" t="s">
        <v>278</v>
      </c>
      <c r="B1" s="7" t="s">
        <v>279</v>
      </c>
    </row>
    <row r="4" spans="1:6">
      <c r="A4" s="78"/>
      <c r="B4" s="78"/>
      <c r="C4" s="78"/>
      <c r="D4" s="78"/>
      <c r="E4" s="78"/>
      <c r="F4" s="78"/>
    </row>
    <row r="5" spans="1:6">
      <c r="A5" s="78" t="s">
        <v>7</v>
      </c>
      <c r="B5" s="78" t="s">
        <v>294</v>
      </c>
      <c r="C5" s="78" t="s">
        <v>286</v>
      </c>
      <c r="D5" s="78" t="s">
        <v>285</v>
      </c>
      <c r="E5" s="78" t="s">
        <v>284</v>
      </c>
      <c r="F5" s="78"/>
    </row>
    <row r="6" spans="1:6">
      <c r="A6" s="81">
        <v>1997</v>
      </c>
      <c r="B6" s="89">
        <v>10.917107015848201</v>
      </c>
      <c r="C6" s="89">
        <v>1.2630885466933299</v>
      </c>
      <c r="D6" s="89"/>
      <c r="E6" s="89"/>
      <c r="F6" s="88"/>
    </row>
    <row r="7" spans="1:6">
      <c r="A7" s="81">
        <v>1998</v>
      </c>
      <c r="B7" s="89">
        <v>10.6159821152687</v>
      </c>
      <c r="C7" s="89">
        <v>1.45990839228034</v>
      </c>
      <c r="D7" s="89"/>
      <c r="E7" s="89"/>
      <c r="F7" s="88"/>
    </row>
    <row r="8" spans="1:6">
      <c r="A8" s="81">
        <v>1999</v>
      </c>
      <c r="B8" s="89">
        <v>9.5025829970836604</v>
      </c>
      <c r="C8" s="89">
        <v>1.40355341136456</v>
      </c>
      <c r="D8" s="89"/>
      <c r="E8" s="89"/>
      <c r="F8" s="88"/>
    </row>
    <row r="9" spans="1:6">
      <c r="A9" s="81">
        <v>2000</v>
      </c>
      <c r="B9" s="89">
        <v>10.4718506336212</v>
      </c>
      <c r="C9" s="89">
        <v>1.7560670152306599</v>
      </c>
      <c r="D9" s="89"/>
      <c r="E9" s="89"/>
      <c r="F9" s="88"/>
    </row>
    <row r="10" spans="1:6">
      <c r="A10" s="81">
        <v>2001</v>
      </c>
      <c r="B10" s="89">
        <v>10.121223330497701</v>
      </c>
      <c r="C10" s="89">
        <v>1.71577148139477</v>
      </c>
      <c r="D10" s="89"/>
      <c r="E10" s="89"/>
      <c r="F10" s="88"/>
    </row>
    <row r="11" spans="1:6">
      <c r="A11" s="81">
        <v>2002</v>
      </c>
      <c r="B11" s="89">
        <v>10.2641694247723</v>
      </c>
      <c r="C11" s="89">
        <v>1.6296407207846599</v>
      </c>
      <c r="D11" s="89">
        <v>7.2596713900566101</v>
      </c>
      <c r="E11" s="89"/>
      <c r="F11" s="88"/>
    </row>
    <row r="12" spans="1:6">
      <c r="A12" s="81">
        <v>2003</v>
      </c>
      <c r="B12" s="89">
        <v>10.070629417896299</v>
      </c>
      <c r="C12" s="89">
        <v>1.2114176526665701</v>
      </c>
      <c r="D12" s="89">
        <v>7.5622767210006696</v>
      </c>
      <c r="E12" s="89"/>
      <c r="F12" s="88"/>
    </row>
    <row r="13" spans="1:6">
      <c r="A13" s="81">
        <v>2004</v>
      </c>
      <c r="B13" s="89">
        <v>9.9500767886638606</v>
      </c>
      <c r="C13" s="89">
        <v>1.6331765800714499</v>
      </c>
      <c r="D13" s="89">
        <v>7.4145168066024798</v>
      </c>
      <c r="E13" s="89"/>
      <c r="F13" s="88"/>
    </row>
    <row r="14" spans="1:6">
      <c r="A14" s="81">
        <v>2005</v>
      </c>
      <c r="B14" s="89">
        <v>10.354268550872799</v>
      </c>
      <c r="C14" s="89">
        <v>1.2322771362960301</v>
      </c>
      <c r="D14" s="89">
        <v>7.33483582735062</v>
      </c>
      <c r="E14" s="89"/>
      <c r="F14" s="88"/>
    </row>
    <row r="15" spans="1:6">
      <c r="A15" s="81">
        <v>2006</v>
      </c>
      <c r="B15" s="89">
        <v>11.5408562123775</v>
      </c>
      <c r="C15" s="89">
        <v>2.0658150315284698</v>
      </c>
      <c r="D15" s="89">
        <v>6.9716870784759504</v>
      </c>
      <c r="E15" s="89"/>
      <c r="F15" s="88"/>
    </row>
    <row r="16" spans="1:6">
      <c r="A16" s="81">
        <v>2007</v>
      </c>
      <c r="B16" s="89">
        <v>11.909217387437799</v>
      </c>
      <c r="C16" s="89">
        <v>3.0072826892137501</v>
      </c>
      <c r="D16" s="89">
        <v>6.30841925740242</v>
      </c>
      <c r="E16" s="89"/>
      <c r="F16" s="88"/>
    </row>
    <row r="17" spans="1:6">
      <c r="A17" s="81">
        <v>2008</v>
      </c>
      <c r="B17" s="89">
        <v>11.7660455405712</v>
      </c>
      <c r="C17" s="89">
        <v>3.2552145421505001</v>
      </c>
      <c r="D17" s="89">
        <v>6.2477473169565201</v>
      </c>
      <c r="E17" s="89"/>
      <c r="F17" s="88"/>
    </row>
    <row r="18" spans="1:6">
      <c r="A18" s="81">
        <v>2009</v>
      </c>
      <c r="B18" s="89">
        <v>11.754229664802599</v>
      </c>
      <c r="C18" s="89">
        <v>2.1592304110526999</v>
      </c>
      <c r="D18" s="89">
        <v>6.4715653657913199</v>
      </c>
      <c r="E18" s="89"/>
      <c r="F18" s="88"/>
    </row>
    <row r="19" spans="1:6">
      <c r="A19" s="81">
        <v>2010</v>
      </c>
      <c r="B19" s="89">
        <v>12.017276138067199</v>
      </c>
      <c r="C19" s="89">
        <v>2.21872255206108</v>
      </c>
      <c r="D19" s="89">
        <v>6.2849856913089797</v>
      </c>
      <c r="E19" s="89"/>
      <c r="F19" s="88"/>
    </row>
    <row r="20" spans="1:6">
      <c r="A20" s="81">
        <v>2011</v>
      </c>
      <c r="B20" s="89">
        <v>12.7152010798454</v>
      </c>
      <c r="C20" s="89">
        <v>2.6899160817265502</v>
      </c>
      <c r="D20" s="89">
        <v>6.0864426195621499</v>
      </c>
      <c r="E20" s="89"/>
      <c r="F20" s="88"/>
    </row>
    <row r="21" spans="1:6">
      <c r="A21" s="81">
        <v>2012</v>
      </c>
      <c r="B21" s="89">
        <v>12.823328375816301</v>
      </c>
      <c r="C21" s="89">
        <v>3.0969914048910101</v>
      </c>
      <c r="D21" s="89">
        <v>5.8616399765014604</v>
      </c>
      <c r="E21" s="89"/>
      <c r="F21" s="88"/>
    </row>
    <row r="22" spans="1:6">
      <c r="A22" s="81">
        <v>2013</v>
      </c>
      <c r="B22" s="89">
        <v>10.9925210475922</v>
      </c>
      <c r="C22" s="89">
        <v>2.9866838827729199</v>
      </c>
      <c r="D22" s="89">
        <v>5.70623651146889</v>
      </c>
      <c r="E22" s="89"/>
      <c r="F22" s="88"/>
    </row>
    <row r="23" spans="1:6">
      <c r="A23" s="81">
        <v>2014</v>
      </c>
      <c r="B23" s="89">
        <v>11.939944326877599</v>
      </c>
      <c r="C23" s="89">
        <v>2.9888581484556198</v>
      </c>
      <c r="D23" s="89">
        <v>5.46601302921772</v>
      </c>
      <c r="E23" s="89"/>
      <c r="F23" s="88"/>
    </row>
    <row r="24" spans="1:6">
      <c r="A24" s="81">
        <v>2015</v>
      </c>
      <c r="B24" s="89">
        <v>11.5621469914913</v>
      </c>
      <c r="C24" s="89">
        <v>2.1966097876429602</v>
      </c>
      <c r="D24" s="89">
        <v>5.1738929003477097</v>
      </c>
      <c r="E24" s="89"/>
      <c r="F24" s="88"/>
    </row>
    <row r="25" spans="1:6">
      <c r="A25" s="81">
        <v>2016</v>
      </c>
      <c r="B25" s="89">
        <v>11.8054777383804</v>
      </c>
      <c r="C25" s="89">
        <v>2.52259504050016</v>
      </c>
      <c r="D25" s="89">
        <v>4.9069635570049304</v>
      </c>
      <c r="E25" s="89"/>
      <c r="F25" s="88"/>
    </row>
    <row r="26" spans="1:6">
      <c r="A26" s="81">
        <v>2017</v>
      </c>
      <c r="B26" s="89">
        <v>12.284073233604399</v>
      </c>
      <c r="C26" s="89">
        <v>2.7306145057082198</v>
      </c>
      <c r="D26" s="89">
        <v>4.7897871583700198</v>
      </c>
      <c r="E26" s="89"/>
      <c r="F26" s="88"/>
    </row>
    <row r="27" spans="1:6">
      <c r="A27" s="81">
        <v>2018</v>
      </c>
      <c r="B27" s="89">
        <v>12.335248291492499</v>
      </c>
      <c r="C27" s="89">
        <v>2.8187733143567999</v>
      </c>
      <c r="D27" s="89">
        <v>4.7048773616552397</v>
      </c>
      <c r="E27" s="89"/>
      <c r="F27" s="88"/>
    </row>
    <row r="28" spans="1:6">
      <c r="A28" s="81">
        <v>2019</v>
      </c>
      <c r="B28" s="91">
        <v>13.0924358963966</v>
      </c>
      <c r="C28" s="91">
        <v>2.55065225064754</v>
      </c>
      <c r="D28" s="91">
        <v>4.6832278370857203</v>
      </c>
      <c r="E28" s="91"/>
      <c r="F28" s="90"/>
    </row>
    <row r="29" spans="1:6">
      <c r="A29" s="81">
        <v>2020</v>
      </c>
      <c r="B29" s="89">
        <v>11.6220608353615</v>
      </c>
      <c r="C29" s="89">
        <v>2.3729721084237099</v>
      </c>
      <c r="D29" s="89">
        <v>4.5422710478305799</v>
      </c>
      <c r="E29" s="89"/>
      <c r="F29" s="88"/>
    </row>
    <row r="30" spans="1:6">
      <c r="A30" s="81">
        <v>2021</v>
      </c>
      <c r="B30" s="89">
        <v>10.846902430057501</v>
      </c>
      <c r="C30" s="89">
        <v>2.7231885120272601</v>
      </c>
      <c r="D30" s="89">
        <v>4.2300678789615596</v>
      </c>
      <c r="E30" s="89">
        <v>20.656280219554901</v>
      </c>
      <c r="F30" s="88"/>
    </row>
    <row r="31" spans="1:6">
      <c r="A31" s="78"/>
      <c r="B31" s="78"/>
      <c r="C31" s="78"/>
      <c r="D31" s="78"/>
      <c r="E31" s="78"/>
      <c r="F31" s="7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A78C-57DA-47C8-A698-783DC9F3112E}">
  <dimension ref="A1:K157"/>
  <sheetViews>
    <sheetView zoomScaleNormal="100" workbookViewId="0">
      <selection activeCell="B3" sqref="B3"/>
    </sheetView>
  </sheetViews>
  <sheetFormatPr baseColWidth="10" defaultRowHeight="14.4"/>
  <cols>
    <col min="3" max="3" width="18.6640625" customWidth="1"/>
    <col min="7" max="7" width="27" customWidth="1"/>
  </cols>
  <sheetData>
    <row r="1" spans="1:11">
      <c r="A1" s="7" t="s">
        <v>3</v>
      </c>
      <c r="B1" s="7" t="s">
        <v>65</v>
      </c>
    </row>
    <row r="2" spans="1:11">
      <c r="A2" s="6"/>
      <c r="D2" s="4"/>
      <c r="E2" s="4"/>
      <c r="F2" s="4"/>
      <c r="G2" s="4"/>
      <c r="H2" s="4"/>
      <c r="I2" s="4"/>
      <c r="J2" s="4"/>
      <c r="K2" s="4"/>
    </row>
    <row r="3" spans="1:11">
      <c r="A3" s="6" t="s">
        <v>7</v>
      </c>
      <c r="B3" s="6" t="s">
        <v>72</v>
      </c>
      <c r="C3" s="6"/>
      <c r="D3" s="4"/>
      <c r="E3" s="4"/>
      <c r="F3" s="4"/>
      <c r="G3" s="4"/>
      <c r="H3" s="4"/>
      <c r="I3" s="4"/>
      <c r="J3" s="4"/>
      <c r="K3" s="4"/>
    </row>
    <row r="4" spans="1:11">
      <c r="A4" s="4">
        <v>1874</v>
      </c>
      <c r="B4" s="35">
        <v>21.620000999999998</v>
      </c>
      <c r="C4" s="21"/>
      <c r="D4" s="21"/>
      <c r="E4" s="21"/>
      <c r="F4" s="21"/>
      <c r="G4" s="21"/>
    </row>
    <row r="5" spans="1:11">
      <c r="A5" s="4">
        <v>1875</v>
      </c>
      <c r="B5" s="35">
        <v>21.98</v>
      </c>
      <c r="C5" s="21"/>
      <c r="D5" s="21"/>
      <c r="E5" s="21"/>
      <c r="F5" s="21"/>
      <c r="G5" s="21"/>
    </row>
    <row r="6" spans="1:11">
      <c r="A6" s="4">
        <v>1876</v>
      </c>
      <c r="B6" s="35">
        <v>22.09</v>
      </c>
      <c r="C6" s="21"/>
      <c r="D6" s="21"/>
      <c r="E6" s="21"/>
      <c r="F6" s="21"/>
      <c r="G6" s="21"/>
    </row>
    <row r="7" spans="1:11">
      <c r="A7" s="4">
        <v>1877</v>
      </c>
      <c r="B7" s="35">
        <v>22.209999</v>
      </c>
      <c r="C7" s="21"/>
      <c r="D7" s="21"/>
      <c r="E7" s="21"/>
      <c r="F7" s="21"/>
      <c r="G7" s="21"/>
    </row>
    <row r="8" spans="1:11">
      <c r="A8" s="4">
        <v>1878</v>
      </c>
      <c r="B8" s="35">
        <v>23.35</v>
      </c>
      <c r="C8" s="21"/>
      <c r="D8" s="21"/>
      <c r="E8" s="21"/>
      <c r="F8" s="21"/>
      <c r="G8" s="21"/>
    </row>
    <row r="9" spans="1:11">
      <c r="A9" s="4">
        <v>1879</v>
      </c>
      <c r="B9" s="35">
        <v>23.67</v>
      </c>
      <c r="C9" s="21"/>
      <c r="D9" s="21"/>
      <c r="E9" s="21"/>
      <c r="F9" s="21"/>
      <c r="G9" s="21"/>
    </row>
    <row r="10" spans="1:11">
      <c r="A10" s="4">
        <v>1880</v>
      </c>
      <c r="B10" s="35">
        <v>23.66</v>
      </c>
      <c r="C10" s="21"/>
      <c r="D10" s="21"/>
      <c r="E10" s="21"/>
      <c r="F10" s="21"/>
      <c r="G10" s="21"/>
    </row>
    <row r="11" spans="1:11">
      <c r="A11" s="4">
        <v>1881</v>
      </c>
      <c r="B11" s="35">
        <v>23.790001</v>
      </c>
      <c r="C11" s="21"/>
      <c r="D11" s="21"/>
      <c r="E11" s="21"/>
      <c r="F11" s="21"/>
      <c r="G11" s="21"/>
    </row>
    <row r="12" spans="1:11">
      <c r="A12" s="4">
        <v>1882</v>
      </c>
      <c r="B12" s="35">
        <v>23.870000999999998</v>
      </c>
      <c r="C12" s="21"/>
      <c r="D12" s="21"/>
      <c r="E12" s="21"/>
      <c r="F12" s="21"/>
      <c r="G12" s="21"/>
    </row>
    <row r="13" spans="1:11">
      <c r="A13" s="4">
        <v>1883</v>
      </c>
      <c r="B13" s="35">
        <v>24.33</v>
      </c>
      <c r="C13" s="21"/>
      <c r="D13" s="21"/>
      <c r="E13" s="21"/>
      <c r="F13" s="21"/>
      <c r="G13" s="21"/>
    </row>
    <row r="14" spans="1:11">
      <c r="A14" s="4">
        <v>1884</v>
      </c>
      <c r="B14" s="35">
        <v>23.26</v>
      </c>
      <c r="C14" s="21"/>
      <c r="D14" s="21"/>
      <c r="E14" s="21"/>
      <c r="F14" s="21"/>
      <c r="G14" s="21"/>
    </row>
    <row r="15" spans="1:11">
      <c r="A15" s="4">
        <v>1885</v>
      </c>
      <c r="B15" s="35">
        <v>22.52</v>
      </c>
      <c r="C15" s="21"/>
      <c r="D15" s="21"/>
      <c r="E15" s="21"/>
      <c r="F15" s="21"/>
      <c r="G15" s="21"/>
    </row>
    <row r="16" spans="1:11">
      <c r="A16" s="4">
        <v>1886</v>
      </c>
      <c r="B16" s="35">
        <v>22.639999</v>
      </c>
      <c r="C16" s="21"/>
      <c r="D16" s="21"/>
      <c r="E16" s="21"/>
      <c r="F16" s="21"/>
      <c r="G16" s="21"/>
    </row>
    <row r="17" spans="1:7">
      <c r="A17" s="4">
        <v>1887</v>
      </c>
      <c r="B17" s="35">
        <v>22.23</v>
      </c>
      <c r="C17" s="21"/>
      <c r="D17" s="21"/>
      <c r="E17" s="21"/>
      <c r="F17" s="21"/>
      <c r="G17" s="21"/>
    </row>
    <row r="18" spans="1:7">
      <c r="A18" s="4">
        <v>1888</v>
      </c>
      <c r="B18" s="35">
        <v>22.92</v>
      </c>
      <c r="C18" s="21"/>
      <c r="D18" s="21"/>
      <c r="E18" s="21"/>
      <c r="F18" s="21"/>
      <c r="G18" s="21"/>
    </row>
    <row r="19" spans="1:7">
      <c r="A19" s="4">
        <v>1889</v>
      </c>
      <c r="B19" s="35">
        <v>24.290001</v>
      </c>
      <c r="C19" s="21"/>
      <c r="D19" s="21"/>
      <c r="E19" s="21"/>
      <c r="F19" s="21"/>
      <c r="G19" s="21"/>
    </row>
    <row r="20" spans="1:7">
      <c r="A20" s="4">
        <v>1890</v>
      </c>
      <c r="B20" s="35">
        <v>24.52</v>
      </c>
      <c r="C20" s="21"/>
      <c r="D20" s="21"/>
      <c r="E20" s="21"/>
      <c r="F20" s="21"/>
      <c r="G20" s="21"/>
    </row>
    <row r="21" spans="1:7">
      <c r="A21" s="4">
        <v>1891</v>
      </c>
      <c r="B21" s="35">
        <v>24.129999000000002</v>
      </c>
      <c r="C21" s="21"/>
      <c r="D21" s="21"/>
      <c r="E21" s="21"/>
      <c r="F21" s="21"/>
      <c r="G21" s="21"/>
    </row>
    <row r="22" spans="1:7">
      <c r="A22" s="4">
        <v>1892</v>
      </c>
      <c r="B22" s="35">
        <v>22.049999</v>
      </c>
      <c r="C22" s="21"/>
      <c r="D22" s="21"/>
      <c r="E22" s="21"/>
      <c r="F22" s="21"/>
      <c r="G22" s="21"/>
    </row>
    <row r="23" spans="1:7">
      <c r="A23" s="4">
        <v>1893</v>
      </c>
      <c r="B23" s="35">
        <v>21.860001</v>
      </c>
      <c r="C23" s="21"/>
      <c r="D23" s="21"/>
      <c r="E23" s="21"/>
      <c r="F23" s="21"/>
      <c r="G23" s="21"/>
    </row>
    <row r="24" spans="1:7">
      <c r="A24" s="4">
        <v>1894</v>
      </c>
      <c r="B24" s="35">
        <v>22.219999000000001</v>
      </c>
      <c r="C24" s="21"/>
      <c r="D24" s="21"/>
      <c r="E24" s="21"/>
      <c r="F24" s="21"/>
      <c r="G24" s="21"/>
    </row>
    <row r="25" spans="1:7">
      <c r="A25" s="4">
        <v>1895</v>
      </c>
      <c r="B25" s="35">
        <v>21.24</v>
      </c>
      <c r="C25" s="21"/>
      <c r="D25" s="21"/>
      <c r="E25" s="21"/>
      <c r="F25" s="21"/>
      <c r="G25" s="21"/>
    </row>
    <row r="26" spans="1:7">
      <c r="A26" s="4">
        <v>1896</v>
      </c>
      <c r="B26" s="35">
        <v>24</v>
      </c>
      <c r="C26" s="21"/>
      <c r="D26" s="21"/>
      <c r="E26" s="21"/>
      <c r="F26" s="21"/>
      <c r="G26" s="21"/>
    </row>
    <row r="27" spans="1:7">
      <c r="A27" s="4">
        <v>1897</v>
      </c>
      <c r="B27" s="35">
        <v>24.459999</v>
      </c>
      <c r="C27" s="21"/>
      <c r="D27" s="21"/>
      <c r="E27" s="21"/>
      <c r="F27" s="21"/>
      <c r="G27" s="21"/>
    </row>
    <row r="28" spans="1:7">
      <c r="A28" s="4">
        <v>1898</v>
      </c>
      <c r="B28" s="35">
        <v>24.459999</v>
      </c>
      <c r="C28" s="21"/>
      <c r="D28" s="21"/>
      <c r="E28" s="21"/>
      <c r="F28" s="21"/>
      <c r="G28" s="21"/>
    </row>
    <row r="29" spans="1:7">
      <c r="A29" s="4">
        <v>1899</v>
      </c>
      <c r="B29" s="35">
        <v>25</v>
      </c>
      <c r="C29" s="21"/>
      <c r="D29" s="21"/>
      <c r="E29" s="21"/>
      <c r="F29" s="21"/>
      <c r="G29" s="21"/>
    </row>
    <row r="30" spans="1:7">
      <c r="A30" s="4">
        <v>1900</v>
      </c>
      <c r="B30" s="35">
        <v>24.360001</v>
      </c>
      <c r="C30" s="21"/>
      <c r="D30" s="21"/>
      <c r="E30" s="21"/>
      <c r="F30" s="21"/>
      <c r="G30" s="21"/>
    </row>
    <row r="31" spans="1:7">
      <c r="A31" s="4">
        <v>1901</v>
      </c>
      <c r="B31" s="35">
        <v>24.459999</v>
      </c>
      <c r="C31" s="21"/>
      <c r="D31" s="21"/>
      <c r="E31" s="21"/>
      <c r="F31" s="21"/>
      <c r="G31" s="21"/>
    </row>
    <row r="32" spans="1:7">
      <c r="A32" s="4">
        <v>1902</v>
      </c>
      <c r="B32" s="35">
        <v>24.620000999999998</v>
      </c>
      <c r="C32" s="21"/>
      <c r="D32" s="21"/>
      <c r="E32" s="21"/>
      <c r="F32" s="21"/>
      <c r="G32" s="21"/>
    </row>
    <row r="33" spans="1:7">
      <c r="A33" s="4">
        <v>1903</v>
      </c>
      <c r="B33" s="35">
        <v>24.68</v>
      </c>
      <c r="C33" s="21"/>
      <c r="D33" s="21"/>
      <c r="E33" s="21"/>
      <c r="F33" s="21"/>
      <c r="G33" s="21"/>
    </row>
    <row r="34" spans="1:7">
      <c r="A34" s="4">
        <v>1904</v>
      </c>
      <c r="B34" s="35">
        <v>24.99</v>
      </c>
      <c r="C34" s="21"/>
      <c r="D34" s="21"/>
      <c r="E34" s="21"/>
      <c r="F34" s="21"/>
      <c r="G34" s="21"/>
    </row>
    <row r="35" spans="1:7">
      <c r="A35" s="4">
        <v>1905</v>
      </c>
      <c r="B35" s="35">
        <v>26.290001</v>
      </c>
      <c r="C35" s="21"/>
      <c r="D35" s="21"/>
      <c r="E35" s="21"/>
      <c r="F35" s="21"/>
      <c r="G35" s="21"/>
    </row>
    <row r="36" spans="1:7">
      <c r="A36" s="4">
        <v>1906</v>
      </c>
      <c r="B36" s="35">
        <v>27.66</v>
      </c>
      <c r="C36" s="21"/>
      <c r="D36" s="21"/>
      <c r="E36" s="21"/>
      <c r="F36" s="21"/>
      <c r="G36" s="21"/>
    </row>
    <row r="37" spans="1:7">
      <c r="A37" s="4">
        <v>1907</v>
      </c>
      <c r="B37" s="35">
        <v>27.559999000000001</v>
      </c>
      <c r="C37" s="21"/>
      <c r="D37" s="21"/>
      <c r="E37" s="21"/>
      <c r="F37" s="21"/>
      <c r="G37" s="21"/>
    </row>
    <row r="38" spans="1:7">
      <c r="A38" s="4">
        <v>1908</v>
      </c>
      <c r="B38" s="35">
        <v>26.530000999999999</v>
      </c>
      <c r="C38" s="21"/>
      <c r="D38" s="21"/>
      <c r="E38" s="21"/>
      <c r="F38" s="21"/>
      <c r="G38" s="21"/>
    </row>
    <row r="39" spans="1:7">
      <c r="A39" s="4">
        <v>1909</v>
      </c>
      <c r="B39" s="35">
        <v>27.24</v>
      </c>
      <c r="C39" s="21"/>
      <c r="D39" s="21"/>
      <c r="E39" s="21"/>
      <c r="F39" s="21"/>
      <c r="G39" s="21"/>
    </row>
    <row r="40" spans="1:7">
      <c r="A40" s="4">
        <v>1910</v>
      </c>
      <c r="B40" s="35">
        <v>27.459999</v>
      </c>
      <c r="C40" s="21"/>
      <c r="D40" s="21"/>
      <c r="E40" s="21"/>
      <c r="F40" s="21"/>
      <c r="G40" s="21"/>
    </row>
    <row r="41" spans="1:7">
      <c r="A41" s="4">
        <v>1911</v>
      </c>
      <c r="B41" s="35">
        <v>28.629999000000002</v>
      </c>
      <c r="C41" s="21"/>
      <c r="D41" s="21"/>
      <c r="E41" s="21"/>
      <c r="F41" s="21"/>
      <c r="G41" s="21"/>
    </row>
    <row r="42" spans="1:7">
      <c r="A42" s="4">
        <v>1912</v>
      </c>
      <c r="B42" s="35">
        <v>29.629999000000002</v>
      </c>
      <c r="C42" s="21"/>
      <c r="D42" s="21"/>
      <c r="E42" s="21"/>
      <c r="F42" s="21"/>
      <c r="G42" s="21"/>
    </row>
    <row r="43" spans="1:7">
      <c r="A43" s="4">
        <v>1913</v>
      </c>
      <c r="B43" s="35">
        <v>29.01</v>
      </c>
      <c r="C43" s="21"/>
      <c r="D43" s="21"/>
      <c r="E43" s="21"/>
      <c r="F43" s="21"/>
      <c r="G43" s="21"/>
    </row>
    <row r="44" spans="1:7">
      <c r="A44" s="4">
        <v>1914</v>
      </c>
      <c r="B44" s="35">
        <v>17.959999</v>
      </c>
      <c r="C44" s="21"/>
      <c r="D44" s="21"/>
      <c r="E44" s="21"/>
      <c r="F44" s="21"/>
      <c r="G44" s="21"/>
    </row>
    <row r="45" spans="1:7">
      <c r="A45" s="4">
        <v>1915</v>
      </c>
      <c r="B45" s="35">
        <v>18.799999</v>
      </c>
      <c r="C45" s="21"/>
      <c r="D45" s="21"/>
      <c r="E45" s="21"/>
      <c r="F45" s="21"/>
      <c r="G45" s="21"/>
    </row>
    <row r="46" spans="1:7">
      <c r="A46" s="4">
        <v>1916</v>
      </c>
      <c r="B46" s="35">
        <v>21.809999000000001</v>
      </c>
      <c r="C46" s="21"/>
      <c r="D46" s="21"/>
      <c r="E46" s="21"/>
      <c r="F46" s="21"/>
      <c r="G46" s="21"/>
    </row>
    <row r="47" spans="1:7">
      <c r="A47" s="4">
        <v>1917</v>
      </c>
      <c r="B47" s="35">
        <v>25.950001</v>
      </c>
      <c r="C47" s="21"/>
      <c r="D47" s="21"/>
      <c r="E47" s="21"/>
      <c r="F47" s="21"/>
      <c r="G47" s="21"/>
    </row>
    <row r="48" spans="1:7">
      <c r="A48" s="4">
        <v>1918</v>
      </c>
      <c r="B48" s="35">
        <v>23.459999</v>
      </c>
      <c r="C48" s="21"/>
      <c r="D48" s="21"/>
      <c r="E48" s="21"/>
      <c r="F48" s="21"/>
      <c r="G48" s="21"/>
    </row>
    <row r="49" spans="1:7">
      <c r="A49" s="4">
        <v>1919</v>
      </c>
      <c r="B49" s="35">
        <v>22.42</v>
      </c>
      <c r="C49" s="21"/>
      <c r="D49" s="21"/>
      <c r="E49" s="21"/>
      <c r="F49" s="21"/>
      <c r="G49" s="21"/>
    </row>
    <row r="50" spans="1:7">
      <c r="A50" s="4">
        <v>1920</v>
      </c>
      <c r="B50" s="35">
        <v>21.66</v>
      </c>
      <c r="C50" s="21"/>
      <c r="D50" s="21"/>
      <c r="E50" s="21"/>
      <c r="F50" s="21"/>
      <c r="G50" s="21"/>
    </row>
    <row r="51" spans="1:7">
      <c r="A51" s="4">
        <v>1921</v>
      </c>
      <c r="B51" s="35">
        <v>15.12</v>
      </c>
      <c r="C51" s="21"/>
      <c r="D51" s="21"/>
      <c r="E51" s="21"/>
      <c r="F51" s="21"/>
      <c r="G51" s="21"/>
    </row>
    <row r="52" spans="1:7">
      <c r="A52" s="4">
        <v>1922</v>
      </c>
      <c r="B52" s="35">
        <v>16.709999</v>
      </c>
      <c r="C52" s="21"/>
      <c r="D52" s="21"/>
      <c r="E52" s="21"/>
      <c r="F52" s="21"/>
      <c r="G52" s="21"/>
    </row>
    <row r="53" spans="1:7">
      <c r="A53" s="4">
        <v>1923</v>
      </c>
      <c r="B53" s="35">
        <v>18.02</v>
      </c>
      <c r="C53" s="21"/>
      <c r="D53" s="21"/>
      <c r="E53" s="21"/>
      <c r="F53" s="21"/>
      <c r="G53" s="21"/>
    </row>
    <row r="54" spans="1:7">
      <c r="A54" s="4">
        <v>1924</v>
      </c>
      <c r="B54" s="35">
        <v>18.48</v>
      </c>
      <c r="C54" s="21"/>
      <c r="D54" s="21"/>
      <c r="E54" s="21"/>
      <c r="F54" s="21"/>
      <c r="G54" s="21"/>
    </row>
    <row r="55" spans="1:7">
      <c r="A55" s="4">
        <v>1925</v>
      </c>
      <c r="B55" s="35">
        <v>19.360001</v>
      </c>
      <c r="C55" s="21"/>
      <c r="D55" s="21"/>
      <c r="E55" s="21"/>
      <c r="F55" s="21"/>
      <c r="G55" s="21"/>
    </row>
    <row r="56" spans="1:7">
      <c r="A56" s="4">
        <v>1926</v>
      </c>
      <c r="B56" s="35">
        <v>18.379999000000002</v>
      </c>
      <c r="C56" s="21"/>
      <c r="D56" s="21"/>
      <c r="E56" s="21"/>
      <c r="F56" s="21"/>
      <c r="G56" s="21"/>
    </row>
    <row r="57" spans="1:7">
      <c r="A57" s="4">
        <v>1927</v>
      </c>
      <c r="B57" s="35">
        <v>18.93</v>
      </c>
      <c r="C57" s="21"/>
      <c r="D57" s="21"/>
      <c r="E57" s="21"/>
      <c r="F57" s="21"/>
      <c r="G57" s="21"/>
    </row>
    <row r="58" spans="1:7">
      <c r="A58" s="4">
        <v>1928</v>
      </c>
      <c r="B58" s="35">
        <v>19.149999999999999</v>
      </c>
      <c r="C58" s="21"/>
      <c r="D58" s="21"/>
      <c r="E58" s="21"/>
      <c r="F58" s="21"/>
      <c r="G58" s="21"/>
    </row>
    <row r="59" spans="1:7">
      <c r="A59" s="4">
        <v>1929</v>
      </c>
      <c r="B59" s="35">
        <v>18.75</v>
      </c>
      <c r="C59" s="21"/>
      <c r="D59" s="21"/>
      <c r="E59" s="21"/>
      <c r="F59" s="21"/>
      <c r="G59" s="21"/>
    </row>
    <row r="60" spans="1:7">
      <c r="A60" s="4">
        <v>1930</v>
      </c>
      <c r="B60" s="35">
        <v>15.97</v>
      </c>
      <c r="C60" s="21"/>
      <c r="D60" s="21"/>
      <c r="E60" s="21"/>
      <c r="F60" s="21"/>
      <c r="G60" s="21"/>
    </row>
    <row r="61" spans="1:7">
      <c r="A61" s="4">
        <v>1931</v>
      </c>
      <c r="B61" s="35">
        <v>13.77</v>
      </c>
      <c r="C61" s="21"/>
      <c r="D61" s="21"/>
      <c r="E61" s="21"/>
      <c r="F61" s="21"/>
      <c r="G61" s="21"/>
    </row>
    <row r="62" spans="1:7">
      <c r="A62" s="4">
        <v>1932</v>
      </c>
      <c r="B62" s="35">
        <v>10.34</v>
      </c>
      <c r="C62" s="21"/>
      <c r="D62" s="21"/>
      <c r="E62" s="21"/>
      <c r="F62" s="21"/>
      <c r="G62" s="21"/>
    </row>
    <row r="63" spans="1:7">
      <c r="A63" s="4">
        <v>1933</v>
      </c>
      <c r="B63" s="35">
        <v>10.72</v>
      </c>
      <c r="C63" s="21"/>
      <c r="D63" s="21"/>
      <c r="E63" s="21"/>
      <c r="F63" s="21"/>
      <c r="G63" s="21"/>
    </row>
    <row r="64" spans="1:7">
      <c r="A64" s="4">
        <v>1934</v>
      </c>
      <c r="B64" s="35">
        <v>13.48</v>
      </c>
      <c r="C64" s="21"/>
      <c r="D64" s="21"/>
      <c r="E64" s="21"/>
      <c r="F64" s="21"/>
      <c r="G64" s="21"/>
    </row>
    <row r="65" spans="1:7">
      <c r="A65" s="4">
        <v>1935</v>
      </c>
      <c r="B65" s="35">
        <v>13.11</v>
      </c>
      <c r="C65" s="21"/>
      <c r="D65" s="21"/>
      <c r="E65" s="21"/>
      <c r="F65" s="21"/>
      <c r="G65" s="21"/>
    </row>
    <row r="66" spans="1:7">
      <c r="A66" s="4">
        <v>1936</v>
      </c>
      <c r="B66" s="35">
        <v>13.53</v>
      </c>
      <c r="C66" s="21"/>
      <c r="D66" s="21"/>
      <c r="E66" s="21"/>
      <c r="F66" s="21"/>
      <c r="G66" s="21"/>
    </row>
    <row r="67" spans="1:7">
      <c r="A67" s="4">
        <v>1937</v>
      </c>
      <c r="B67" s="35">
        <v>15.39</v>
      </c>
      <c r="C67" s="21"/>
      <c r="D67" s="21"/>
      <c r="E67" s="21"/>
      <c r="F67" s="21"/>
      <c r="G67" s="21"/>
    </row>
    <row r="68" spans="1:7">
      <c r="A68" s="4">
        <v>1938</v>
      </c>
      <c r="B68" s="35">
        <v>12.96</v>
      </c>
      <c r="C68" s="21"/>
      <c r="D68" s="21"/>
      <c r="E68" s="21"/>
      <c r="F68" s="21"/>
      <c r="G68" s="21"/>
    </row>
    <row r="69" spans="1:7">
      <c r="A69" s="4">
        <v>1939</v>
      </c>
      <c r="B69" s="35">
        <v>12.97</v>
      </c>
      <c r="C69" s="21"/>
      <c r="D69" s="21"/>
      <c r="E69" s="21"/>
      <c r="F69" s="21"/>
      <c r="G69" s="21"/>
    </row>
    <row r="70" spans="1:7">
      <c r="A70" s="4">
        <v>1940</v>
      </c>
      <c r="B70" s="35">
        <v>13.89</v>
      </c>
      <c r="C70" s="21"/>
      <c r="D70" s="21"/>
      <c r="E70" s="21"/>
      <c r="F70" s="21"/>
      <c r="G70" s="21"/>
    </row>
    <row r="71" spans="1:7">
      <c r="A71" s="4">
        <v>1941</v>
      </c>
      <c r="B71" s="35">
        <v>12.68</v>
      </c>
      <c r="C71" s="21"/>
      <c r="D71" s="21"/>
      <c r="E71" s="21"/>
      <c r="F71" s="21"/>
      <c r="G71" s="21"/>
    </row>
    <row r="72" spans="1:7">
      <c r="A72" s="4">
        <v>1942</v>
      </c>
      <c r="B72" s="35">
        <v>11.76</v>
      </c>
      <c r="C72" s="21"/>
      <c r="D72" s="21"/>
      <c r="E72" s="21"/>
      <c r="F72" s="21"/>
      <c r="G72" s="21"/>
    </row>
    <row r="73" spans="1:7">
      <c r="A73" s="4">
        <v>1943</v>
      </c>
      <c r="B73" s="35">
        <v>12.55</v>
      </c>
      <c r="C73" s="21"/>
      <c r="D73" s="21"/>
      <c r="E73" s="21"/>
      <c r="F73" s="21"/>
      <c r="G73" s="21"/>
    </row>
    <row r="74" spans="1:7">
      <c r="A74" s="4">
        <v>1944</v>
      </c>
      <c r="B74" s="35">
        <v>11.94</v>
      </c>
      <c r="C74" s="21"/>
      <c r="D74" s="21"/>
      <c r="E74" s="21"/>
      <c r="F74" s="21"/>
      <c r="G74" s="21"/>
    </row>
    <row r="75" spans="1:7">
      <c r="A75" s="4">
        <v>1945</v>
      </c>
      <c r="B75" s="35">
        <v>10.14</v>
      </c>
      <c r="C75" s="21"/>
      <c r="D75" s="21"/>
      <c r="E75" s="21"/>
      <c r="F75" s="21"/>
      <c r="G75" s="21"/>
    </row>
    <row r="76" spans="1:7">
      <c r="A76" s="4">
        <v>1946</v>
      </c>
      <c r="B76" s="35">
        <v>15.05</v>
      </c>
      <c r="C76" s="21"/>
      <c r="D76" s="21"/>
      <c r="E76" s="21"/>
      <c r="F76" s="21"/>
      <c r="G76" s="21"/>
    </row>
    <row r="77" spans="1:7">
      <c r="A77" s="4">
        <v>1947</v>
      </c>
      <c r="B77" s="35">
        <v>19.82</v>
      </c>
      <c r="C77" s="21"/>
      <c r="D77" s="21"/>
      <c r="E77" s="21"/>
      <c r="F77" s="21"/>
      <c r="G77" s="21"/>
    </row>
    <row r="78" spans="1:7">
      <c r="A78" s="4">
        <v>1948</v>
      </c>
      <c r="B78" s="35">
        <v>17.139999</v>
      </c>
      <c r="C78" s="21"/>
      <c r="D78" s="21"/>
      <c r="E78" s="21"/>
      <c r="F78" s="21"/>
      <c r="G78" s="21"/>
    </row>
    <row r="79" spans="1:7">
      <c r="A79" s="4">
        <v>1949</v>
      </c>
      <c r="B79" s="35">
        <v>16.350000000000001</v>
      </c>
      <c r="C79" s="21"/>
      <c r="D79" s="21"/>
      <c r="E79" s="21"/>
      <c r="F79" s="21"/>
      <c r="G79" s="21"/>
    </row>
    <row r="80" spans="1:7">
      <c r="A80" s="4">
        <v>1950</v>
      </c>
      <c r="B80" s="35">
        <v>19.871469399999999</v>
      </c>
      <c r="C80" s="21"/>
      <c r="D80" s="21"/>
      <c r="E80" s="21"/>
      <c r="F80" s="21"/>
      <c r="G80" s="21"/>
    </row>
    <row r="81" spans="1:7">
      <c r="A81" s="4">
        <v>1951</v>
      </c>
      <c r="B81" s="35">
        <v>22.806436609999999</v>
      </c>
      <c r="C81" s="21"/>
      <c r="D81" s="21"/>
      <c r="E81" s="21"/>
      <c r="F81" s="21"/>
      <c r="G81" s="21"/>
    </row>
    <row r="82" spans="1:7">
      <c r="A82" s="4">
        <v>1952</v>
      </c>
      <c r="B82" s="35">
        <v>20.580606329999998</v>
      </c>
      <c r="C82" s="21"/>
      <c r="D82" s="21"/>
      <c r="E82" s="21"/>
      <c r="F82" s="21"/>
      <c r="G82" s="21"/>
    </row>
    <row r="83" spans="1:7">
      <c r="A83" s="4">
        <v>1953</v>
      </c>
      <c r="B83" s="35">
        <v>19.201505279999999</v>
      </c>
      <c r="C83" s="21"/>
      <c r="D83" s="21"/>
      <c r="E83" s="21"/>
      <c r="F83" s="21"/>
      <c r="G83" s="21"/>
    </row>
    <row r="84" spans="1:7">
      <c r="A84" s="4">
        <v>1954</v>
      </c>
      <c r="B84" s="35">
        <v>19.75889235</v>
      </c>
      <c r="C84" s="21"/>
      <c r="D84" s="21"/>
      <c r="E84" s="22"/>
      <c r="F84" s="21"/>
      <c r="G84" s="21"/>
    </row>
    <row r="85" spans="1:7">
      <c r="A85" s="4">
        <v>1955</v>
      </c>
      <c r="B85" s="35">
        <v>20.45698419</v>
      </c>
      <c r="C85" s="21"/>
      <c r="D85" s="21"/>
      <c r="E85" s="22"/>
      <c r="F85" s="21"/>
      <c r="G85" s="21"/>
    </row>
    <row r="86" spans="1:7">
      <c r="A86" s="4">
        <v>1956</v>
      </c>
      <c r="B86" s="35">
        <v>21.436284950000001</v>
      </c>
      <c r="C86" s="21"/>
      <c r="D86" s="21"/>
      <c r="E86" s="22"/>
      <c r="F86" s="21"/>
      <c r="G86" s="21"/>
    </row>
    <row r="87" spans="1:7">
      <c r="A87" s="4">
        <v>1957</v>
      </c>
      <c r="B87" s="35">
        <v>21.846005689999998</v>
      </c>
      <c r="C87" s="21"/>
      <c r="D87" s="21"/>
      <c r="E87" s="22"/>
      <c r="F87" s="21"/>
      <c r="G87" s="21"/>
    </row>
    <row r="88" spans="1:7">
      <c r="A88" s="4">
        <v>1958</v>
      </c>
      <c r="B88" s="35">
        <v>20.046397469999999</v>
      </c>
      <c r="C88" s="21"/>
      <c r="D88" s="21"/>
      <c r="E88" s="22"/>
      <c r="F88" s="21"/>
      <c r="G88" s="21"/>
    </row>
    <row r="89" spans="1:7">
      <c r="A89" s="4">
        <v>1959</v>
      </c>
      <c r="B89" s="35">
        <v>20.29676229</v>
      </c>
      <c r="C89" s="21"/>
      <c r="D89" s="21"/>
      <c r="E89" s="22"/>
      <c r="F89" s="21"/>
      <c r="G89" s="21"/>
    </row>
    <row r="90" spans="1:7">
      <c r="A90" s="4">
        <v>1960</v>
      </c>
      <c r="B90" s="35">
        <v>22.452469359999998</v>
      </c>
      <c r="C90" s="21"/>
      <c r="D90" s="21"/>
      <c r="E90" s="22"/>
      <c r="F90" s="21"/>
      <c r="G90" s="21"/>
    </row>
    <row r="91" spans="1:7">
      <c r="A91" s="4">
        <v>1961</v>
      </c>
      <c r="B91" s="35">
        <v>22.07348597</v>
      </c>
      <c r="C91" s="21"/>
      <c r="D91" s="21"/>
      <c r="E91" s="22"/>
      <c r="F91" s="21"/>
      <c r="G91" s="21"/>
    </row>
    <row r="92" spans="1:7">
      <c r="A92" s="4">
        <v>1962</v>
      </c>
      <c r="B92" s="35">
        <v>21.588862890000001</v>
      </c>
      <c r="C92" s="21"/>
      <c r="D92" s="21"/>
      <c r="E92" s="22"/>
      <c r="F92" s="21"/>
      <c r="G92" s="21"/>
    </row>
    <row r="93" spans="1:7">
      <c r="A93" s="4">
        <v>1963</v>
      </c>
      <c r="B93" s="35">
        <v>22.26049458</v>
      </c>
      <c r="C93" s="21"/>
      <c r="D93" s="21"/>
      <c r="E93" s="22"/>
      <c r="F93" s="21"/>
      <c r="G93" s="21"/>
    </row>
    <row r="94" spans="1:7">
      <c r="A94" s="4">
        <v>1964</v>
      </c>
      <c r="B94" s="35">
        <v>22.499966579999999</v>
      </c>
      <c r="C94" s="21"/>
      <c r="D94" s="21"/>
      <c r="E94" s="22"/>
      <c r="F94" s="21"/>
      <c r="G94" s="21"/>
    </row>
    <row r="95" spans="1:7">
      <c r="A95" s="4">
        <v>1965</v>
      </c>
      <c r="B95" s="35">
        <v>22.35041914</v>
      </c>
      <c r="C95" s="21"/>
      <c r="D95" s="21"/>
      <c r="E95" s="22"/>
      <c r="F95" s="21"/>
      <c r="G95" s="21"/>
    </row>
    <row r="96" spans="1:7">
      <c r="A96" s="4">
        <v>1966</v>
      </c>
      <c r="B96" s="35">
        <v>22.709607980000001</v>
      </c>
      <c r="C96" s="21"/>
      <c r="D96" s="21"/>
      <c r="E96" s="22"/>
      <c r="F96" s="21"/>
      <c r="G96" s="21"/>
    </row>
    <row r="97" spans="1:7">
      <c r="A97" s="4">
        <v>1967</v>
      </c>
      <c r="B97" s="35">
        <v>22.50230148</v>
      </c>
      <c r="C97" s="21"/>
      <c r="D97" s="21"/>
      <c r="E97" s="22"/>
      <c r="F97" s="21"/>
      <c r="G97" s="21"/>
    </row>
    <row r="98" spans="1:7">
      <c r="A98" s="4">
        <v>1968</v>
      </c>
      <c r="B98" s="35">
        <v>23.061014350000001</v>
      </c>
      <c r="C98" s="21"/>
      <c r="D98" s="21"/>
      <c r="E98" s="22"/>
      <c r="F98" s="21"/>
      <c r="G98" s="21"/>
    </row>
    <row r="99" spans="1:7">
      <c r="A99" s="4">
        <v>1969</v>
      </c>
      <c r="B99" s="35">
        <v>23.745529130000001</v>
      </c>
      <c r="C99" s="21"/>
      <c r="D99" s="21"/>
      <c r="E99" s="22"/>
      <c r="F99" s="21"/>
      <c r="G99" s="21"/>
    </row>
    <row r="100" spans="1:7">
      <c r="A100" s="4">
        <v>1970</v>
      </c>
      <c r="B100" s="35">
        <v>25.012069700000001</v>
      </c>
      <c r="C100" s="21"/>
      <c r="D100" s="21"/>
      <c r="E100" s="22"/>
      <c r="F100" s="21"/>
      <c r="G100" s="21"/>
    </row>
    <row r="101" spans="1:7">
      <c r="A101" s="4">
        <v>1971</v>
      </c>
      <c r="B101" s="35">
        <v>25.164672849999999</v>
      </c>
      <c r="C101" s="21"/>
      <c r="D101" s="21"/>
      <c r="E101" s="22"/>
      <c r="F101" s="21"/>
      <c r="G101" s="21"/>
    </row>
    <row r="102" spans="1:7">
      <c r="A102" s="4">
        <v>1972</v>
      </c>
      <c r="B102" s="35">
        <v>25.389101029999999</v>
      </c>
      <c r="C102" s="21"/>
      <c r="D102" s="21"/>
      <c r="E102" s="22"/>
      <c r="F102" s="21"/>
      <c r="G102" s="21"/>
    </row>
    <row r="103" spans="1:7">
      <c r="A103" s="4">
        <v>1973</v>
      </c>
      <c r="B103" s="35">
        <v>28.421083450000001</v>
      </c>
      <c r="C103" s="21"/>
      <c r="D103" s="21"/>
      <c r="E103" s="22"/>
      <c r="F103" s="21"/>
      <c r="G103" s="21"/>
    </row>
    <row r="104" spans="1:7">
      <c r="A104" s="4">
        <v>1974</v>
      </c>
      <c r="B104" s="35">
        <v>33.269641880000002</v>
      </c>
      <c r="C104" s="21"/>
      <c r="D104" s="21"/>
      <c r="E104" s="22"/>
      <c r="F104" s="21"/>
      <c r="G104" s="21"/>
    </row>
    <row r="105" spans="1:7">
      <c r="A105" s="4">
        <v>1975</v>
      </c>
      <c r="B105" s="35">
        <v>31.468273159999999</v>
      </c>
      <c r="C105" s="21"/>
      <c r="D105" s="21"/>
      <c r="E105" s="22"/>
      <c r="F105" s="21"/>
      <c r="G105" s="21"/>
    </row>
    <row r="106" spans="1:7">
      <c r="A106" s="4">
        <v>1976</v>
      </c>
      <c r="B106" s="35">
        <v>32.154815669999998</v>
      </c>
      <c r="C106" s="21"/>
      <c r="D106" s="21"/>
      <c r="E106" s="22"/>
      <c r="F106" s="21"/>
      <c r="G106" s="21"/>
    </row>
    <row r="107" spans="1:7">
      <c r="A107" s="4">
        <v>1977</v>
      </c>
      <c r="B107" s="35">
        <v>32.4253006</v>
      </c>
      <c r="C107" s="21"/>
      <c r="D107" s="21"/>
      <c r="E107" s="22"/>
      <c r="F107" s="21"/>
      <c r="G107" s="21"/>
    </row>
    <row r="108" spans="1:7">
      <c r="A108" s="4">
        <v>1978</v>
      </c>
      <c r="B108" s="35">
        <v>32.024780270000001</v>
      </c>
      <c r="C108" s="21"/>
      <c r="D108" s="21"/>
      <c r="E108" s="22"/>
      <c r="F108" s="21"/>
      <c r="G108" s="21"/>
    </row>
    <row r="109" spans="1:7">
      <c r="A109" s="4">
        <v>1979</v>
      </c>
      <c r="B109" s="35">
        <v>34.274772640000002</v>
      </c>
      <c r="C109" s="21"/>
      <c r="D109" s="21"/>
      <c r="E109" s="22"/>
      <c r="F109" s="21"/>
      <c r="G109" s="21"/>
    </row>
    <row r="110" spans="1:7">
      <c r="A110" s="4">
        <v>1980</v>
      </c>
      <c r="B110" s="35">
        <v>37.138267519999999</v>
      </c>
      <c r="C110" s="21"/>
      <c r="D110" s="21"/>
      <c r="E110" s="22"/>
      <c r="F110" s="21"/>
      <c r="G110" s="21"/>
    </row>
    <row r="111" spans="1:7">
      <c r="A111" s="4">
        <v>1981</v>
      </c>
      <c r="B111" s="35">
        <v>37.413856510000002</v>
      </c>
      <c r="C111" s="21"/>
      <c r="D111" s="21"/>
      <c r="E111" s="22"/>
      <c r="F111" s="21"/>
      <c r="G111" s="21"/>
    </row>
    <row r="112" spans="1:7">
      <c r="A112" s="4">
        <v>1982</v>
      </c>
      <c r="B112" s="35">
        <v>36.740661619999997</v>
      </c>
      <c r="C112" s="21"/>
      <c r="D112" s="21"/>
      <c r="E112" s="22"/>
      <c r="F112" s="21"/>
      <c r="G112" s="21"/>
    </row>
    <row r="113" spans="1:7">
      <c r="A113" s="4">
        <v>1983</v>
      </c>
      <c r="B113" s="35">
        <v>35.903991699999999</v>
      </c>
      <c r="C113" s="21"/>
      <c r="D113" s="21"/>
      <c r="E113" s="22"/>
      <c r="F113" s="22"/>
      <c r="G113" s="21"/>
    </row>
    <row r="114" spans="1:7">
      <c r="A114" s="4">
        <v>1984</v>
      </c>
      <c r="B114" s="35">
        <v>37.17209244</v>
      </c>
      <c r="C114" s="21"/>
      <c r="D114" s="21"/>
      <c r="E114" s="21"/>
      <c r="F114" s="22"/>
      <c r="G114" s="21"/>
    </row>
    <row r="115" spans="1:7">
      <c r="A115" s="4">
        <v>1985</v>
      </c>
      <c r="B115" s="35">
        <v>36.705089569999998</v>
      </c>
      <c r="C115" s="21"/>
      <c r="D115" s="21"/>
      <c r="E115" s="21"/>
      <c r="F115" s="22"/>
      <c r="G115" s="21"/>
    </row>
    <row r="116" spans="1:7">
      <c r="A116" s="4">
        <v>1986</v>
      </c>
      <c r="B116" s="35">
        <v>34.278804780000002</v>
      </c>
      <c r="C116" s="21"/>
      <c r="D116" s="21"/>
      <c r="E116" s="21"/>
      <c r="F116" s="22"/>
      <c r="G116" s="21"/>
    </row>
    <row r="117" spans="1:7">
      <c r="A117" s="4">
        <v>1987</v>
      </c>
      <c r="B117" s="35">
        <v>35.602977750000001</v>
      </c>
      <c r="C117" s="21"/>
      <c r="D117" s="21"/>
      <c r="E117" s="21"/>
      <c r="F117" s="22"/>
      <c r="G117" s="21"/>
    </row>
    <row r="118" spans="1:7">
      <c r="A118" s="4">
        <v>1988</v>
      </c>
      <c r="B118" s="35">
        <v>37.44444275</v>
      </c>
      <c r="C118" s="21"/>
      <c r="D118" s="21"/>
      <c r="E118" s="21"/>
      <c r="F118" s="22"/>
      <c r="G118" s="21"/>
    </row>
    <row r="119" spans="1:7">
      <c r="A119" s="4">
        <v>1989</v>
      </c>
      <c r="B119" s="35">
        <v>37.939716339999997</v>
      </c>
      <c r="C119" s="21"/>
      <c r="D119" s="21"/>
      <c r="E119" s="21"/>
      <c r="F119" s="22"/>
      <c r="G119" s="21"/>
    </row>
    <row r="120" spans="1:7">
      <c r="A120" s="4">
        <v>1990</v>
      </c>
      <c r="B120" s="35">
        <v>37.907939910000003</v>
      </c>
      <c r="C120" s="21"/>
      <c r="D120" s="21"/>
      <c r="E120" s="21"/>
      <c r="F120" s="22"/>
      <c r="G120" s="21"/>
    </row>
    <row r="121" spans="1:7">
      <c r="A121" s="4">
        <v>1991</v>
      </c>
      <c r="B121" s="35">
        <v>37.832859040000002</v>
      </c>
      <c r="C121" s="21"/>
      <c r="D121" s="21"/>
      <c r="E121" s="21"/>
      <c r="F121" s="22"/>
      <c r="G121" s="21"/>
    </row>
    <row r="122" spans="1:7">
      <c r="A122" s="4">
        <v>1992</v>
      </c>
      <c r="B122" s="35">
        <v>40.740543369999997</v>
      </c>
      <c r="C122" s="21"/>
      <c r="D122" s="21"/>
      <c r="E122" s="21"/>
      <c r="F122" s="22"/>
      <c r="G122" s="21"/>
    </row>
    <row r="123" spans="1:7">
      <c r="A123" s="4">
        <v>1993</v>
      </c>
      <c r="B123" s="35">
        <v>40.23505402</v>
      </c>
      <c r="C123" s="21"/>
      <c r="D123" s="21"/>
      <c r="E123" s="21"/>
      <c r="F123" s="22"/>
      <c r="G123" s="21"/>
    </row>
    <row r="124" spans="1:7">
      <c r="A124" s="4">
        <v>1994</v>
      </c>
      <c r="B124" s="35">
        <v>41.073047639999999</v>
      </c>
      <c r="C124" s="21"/>
      <c r="D124" s="21"/>
      <c r="E124" s="21"/>
      <c r="F124" s="22"/>
      <c r="G124" s="21"/>
    </row>
    <row r="125" spans="1:7">
      <c r="A125" s="4">
        <v>1995</v>
      </c>
      <c r="B125" s="35">
        <v>43.165969850000003</v>
      </c>
      <c r="C125" s="21"/>
      <c r="D125" s="21"/>
      <c r="E125" s="21"/>
      <c r="F125" s="22"/>
      <c r="G125" s="21"/>
    </row>
    <row r="126" spans="1:7">
      <c r="A126" s="4">
        <v>1996</v>
      </c>
      <c r="B126" s="35">
        <v>43.30285645</v>
      </c>
      <c r="C126" s="21"/>
      <c r="D126" s="21"/>
      <c r="E126" s="21"/>
      <c r="F126" s="22"/>
      <c r="G126" s="21"/>
    </row>
    <row r="127" spans="1:7">
      <c r="A127" s="4">
        <v>1997</v>
      </c>
      <c r="B127" s="35">
        <v>45.200508120000002</v>
      </c>
      <c r="C127" s="21"/>
      <c r="D127" s="21"/>
      <c r="E127" s="21"/>
      <c r="F127" s="22"/>
      <c r="G127" s="21"/>
    </row>
    <row r="128" spans="1:7">
      <c r="A128" s="4">
        <v>1998</v>
      </c>
      <c r="B128" s="35">
        <v>45.603191379999998</v>
      </c>
      <c r="C128" s="21"/>
      <c r="D128" s="21"/>
      <c r="E128" s="21"/>
      <c r="F128" s="22"/>
      <c r="G128" s="21"/>
    </row>
    <row r="129" spans="1:7">
      <c r="A129" s="4">
        <v>1999</v>
      </c>
      <c r="B129" s="35">
        <v>46.045543670000001</v>
      </c>
      <c r="C129" s="21"/>
      <c r="D129" s="21"/>
      <c r="E129" s="21"/>
      <c r="F129" s="22"/>
      <c r="G129" s="21"/>
    </row>
    <row r="130" spans="1:7">
      <c r="A130" s="4">
        <v>2000</v>
      </c>
      <c r="B130" s="35">
        <v>50.692409519999998</v>
      </c>
      <c r="C130" s="21"/>
      <c r="D130" s="21"/>
      <c r="E130" s="21"/>
      <c r="F130" s="22"/>
      <c r="G130" s="21"/>
    </row>
    <row r="131" spans="1:7">
      <c r="A131" s="4">
        <v>2001</v>
      </c>
      <c r="B131" s="35">
        <v>49.613449099999997</v>
      </c>
      <c r="C131" s="21"/>
      <c r="D131" s="21"/>
      <c r="E131" s="21"/>
      <c r="F131" s="22"/>
      <c r="G131" s="21"/>
    </row>
    <row r="132" spans="1:7">
      <c r="A132" s="4">
        <v>2002</v>
      </c>
      <c r="B132" s="35">
        <v>49.422885890000003</v>
      </c>
      <c r="C132" s="21"/>
      <c r="D132" s="21"/>
      <c r="E132" s="21"/>
      <c r="F132" s="22"/>
      <c r="G132" s="21"/>
    </row>
    <row r="133" spans="1:7">
      <c r="A133" s="4">
        <v>2003</v>
      </c>
      <c r="B133" s="35">
        <v>51.179317470000001</v>
      </c>
      <c r="C133" s="21"/>
      <c r="D133" s="21"/>
      <c r="E133" s="21"/>
      <c r="F133" s="22"/>
      <c r="G133" s="21"/>
    </row>
    <row r="134" spans="1:7">
      <c r="A134" s="4">
        <v>2004</v>
      </c>
      <c r="B134" s="35">
        <v>54.62420273</v>
      </c>
      <c r="C134" s="21"/>
      <c r="D134" s="21"/>
      <c r="E134" s="21"/>
      <c r="F134" s="22"/>
      <c r="G134" s="21"/>
    </row>
    <row r="135" spans="1:7">
      <c r="A135" s="4">
        <v>2005</v>
      </c>
      <c r="B135" s="35">
        <v>56.67681503</v>
      </c>
      <c r="C135" s="21"/>
      <c r="D135" s="21"/>
      <c r="E135" s="21"/>
      <c r="F135" s="22"/>
      <c r="G135" s="21"/>
    </row>
    <row r="136" spans="1:7">
      <c r="A136" s="4">
        <v>2006</v>
      </c>
      <c r="B136" s="35">
        <v>58.935455320000003</v>
      </c>
      <c r="C136" s="21"/>
      <c r="D136" s="21"/>
      <c r="E136" s="21"/>
      <c r="F136" s="22"/>
      <c r="G136" s="21"/>
    </row>
    <row r="137" spans="1:7">
      <c r="A137" s="4">
        <v>2007</v>
      </c>
      <c r="B137" s="35">
        <v>59.3307991</v>
      </c>
      <c r="C137" s="21"/>
      <c r="D137" s="21"/>
      <c r="E137" s="21"/>
      <c r="F137" s="22"/>
      <c r="G137" s="21"/>
    </row>
    <row r="138" spans="1:7">
      <c r="A138" s="4">
        <v>2008</v>
      </c>
      <c r="B138" s="35">
        <v>60.985034939999998</v>
      </c>
      <c r="C138" s="21"/>
      <c r="D138" s="21"/>
      <c r="E138" s="21"/>
      <c r="F138" s="22"/>
      <c r="G138" s="21"/>
    </row>
    <row r="139" spans="1:7">
      <c r="A139" s="4">
        <v>2009</v>
      </c>
      <c r="B139" s="35">
        <v>52.46112823</v>
      </c>
      <c r="C139" s="21"/>
      <c r="D139" s="21"/>
      <c r="E139" s="21"/>
      <c r="F139" s="22"/>
      <c r="G139" s="21"/>
    </row>
    <row r="140" spans="1:7">
      <c r="A140" s="4">
        <v>2010</v>
      </c>
      <c r="B140" s="35">
        <v>56.957916259999998</v>
      </c>
      <c r="C140" s="21"/>
      <c r="D140" s="21"/>
      <c r="E140" s="21"/>
      <c r="F140" s="22"/>
      <c r="G140" s="21"/>
    </row>
    <row r="141" spans="1:7">
      <c r="A141" s="4">
        <v>2011</v>
      </c>
      <c r="B141" s="35">
        <v>60.191223139999998</v>
      </c>
      <c r="C141" s="21"/>
      <c r="D141" s="21"/>
      <c r="E141" s="21"/>
      <c r="F141" s="22"/>
      <c r="G141" s="21"/>
    </row>
    <row r="142" spans="1:7">
      <c r="A142" s="4">
        <v>2012</v>
      </c>
      <c r="B142" s="35">
        <v>59.943195340000003</v>
      </c>
      <c r="C142" s="21"/>
      <c r="D142" s="21"/>
      <c r="E142" s="21"/>
      <c r="F142" s="22"/>
      <c r="G142" s="22"/>
    </row>
    <row r="143" spans="1:7">
      <c r="A143" s="4">
        <v>2013</v>
      </c>
      <c r="B143" s="35">
        <v>59.149429320000003</v>
      </c>
      <c r="C143" s="21"/>
      <c r="D143" s="21"/>
      <c r="E143" s="21"/>
      <c r="F143" s="21"/>
      <c r="G143" s="22"/>
    </row>
    <row r="144" spans="1:7">
      <c r="A144" s="4">
        <v>2014</v>
      </c>
      <c r="B144" s="35">
        <v>58.551322939999999</v>
      </c>
      <c r="C144" s="21"/>
      <c r="D144" s="21"/>
      <c r="E144" s="21"/>
      <c r="F144" s="21"/>
      <c r="G144" s="22"/>
    </row>
    <row r="145" spans="1:7">
      <c r="A145" s="4">
        <v>2015</v>
      </c>
      <c r="B145" s="35">
        <v>56.170700070000002</v>
      </c>
      <c r="C145" s="21"/>
      <c r="D145" s="21"/>
      <c r="E145" s="21"/>
      <c r="F145" s="21"/>
      <c r="G145" s="22"/>
    </row>
    <row r="146" spans="1:7">
      <c r="A146" s="4">
        <v>2016</v>
      </c>
      <c r="B146" s="35">
        <v>54.396800990000003</v>
      </c>
      <c r="C146" s="21"/>
      <c r="D146" s="21"/>
      <c r="E146" s="21"/>
      <c r="F146" s="21"/>
      <c r="G146" s="22"/>
    </row>
    <row r="147" spans="1:7">
      <c r="A147" s="4">
        <v>2017</v>
      </c>
      <c r="B147" s="35">
        <v>56.14788437</v>
      </c>
      <c r="C147" s="21"/>
      <c r="D147" s="21"/>
      <c r="E147" s="21"/>
      <c r="F147" s="21"/>
      <c r="G147" s="22"/>
    </row>
    <row r="148" spans="1:7">
      <c r="A148" s="4">
        <v>2018</v>
      </c>
      <c r="B148" s="35">
        <v>57.690456390000001</v>
      </c>
      <c r="C148" s="21"/>
      <c r="D148" s="21"/>
      <c r="E148" s="21"/>
      <c r="F148" s="21"/>
      <c r="G148" s="22"/>
    </row>
    <row r="149" spans="1:7">
      <c r="A149" s="4">
        <v>2019</v>
      </c>
      <c r="B149" s="35">
        <v>56.327285770000003</v>
      </c>
      <c r="C149" s="21"/>
      <c r="D149" s="21"/>
      <c r="E149" s="21"/>
      <c r="F149" s="21"/>
      <c r="G149" s="22"/>
    </row>
    <row r="150" spans="1:7">
      <c r="A150" s="4">
        <v>2020</v>
      </c>
      <c r="B150" s="35">
        <v>51.618598939999998</v>
      </c>
      <c r="C150" s="21"/>
      <c r="D150" s="21"/>
      <c r="E150" s="21"/>
      <c r="F150" s="21"/>
      <c r="G150" s="22"/>
    </row>
    <row r="151" spans="1:7">
      <c r="A151" s="4">
        <v>2021</v>
      </c>
      <c r="B151" s="35">
        <v>57.2</v>
      </c>
      <c r="C151" s="21"/>
      <c r="D151" s="21"/>
      <c r="E151" s="21"/>
      <c r="F151" s="21"/>
      <c r="G151" s="22"/>
    </row>
    <row r="152" spans="1:7">
      <c r="A152" s="4"/>
      <c r="B152" s="4"/>
      <c r="D152" s="21"/>
      <c r="E152" s="21"/>
      <c r="F152" s="21"/>
      <c r="G152" s="22"/>
    </row>
    <row r="153" spans="1:7">
      <c r="A153" s="6"/>
      <c r="D153" s="21"/>
      <c r="E153" s="21"/>
      <c r="F153" s="21"/>
      <c r="G153" s="22"/>
    </row>
    <row r="154" spans="1:7">
      <c r="A154" s="6"/>
      <c r="D154" s="21"/>
      <c r="E154" s="21"/>
      <c r="F154" s="21"/>
      <c r="G154" s="22"/>
    </row>
    <row r="155" spans="1:7">
      <c r="A155" s="6"/>
      <c r="D155" s="21"/>
      <c r="E155" s="21"/>
      <c r="F155" s="21"/>
      <c r="G155" s="21"/>
    </row>
    <row r="156" spans="1:7">
      <c r="A156" s="6"/>
    </row>
    <row r="157" spans="1:7">
      <c r="A157" s="6"/>
    </row>
  </sheetData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B152-BF00-4FA2-A51C-E8E018E0FDF4}">
  <dimension ref="A1:G33"/>
  <sheetViews>
    <sheetView workbookViewId="0">
      <selection activeCell="P30" sqref="P30"/>
    </sheetView>
  </sheetViews>
  <sheetFormatPr baseColWidth="10" defaultColWidth="9.109375" defaultRowHeight="14.4"/>
  <cols>
    <col min="1" max="16384" width="9.109375" style="78"/>
  </cols>
  <sheetData>
    <row r="1" spans="1:7">
      <c r="A1" s="87" t="s">
        <v>280</v>
      </c>
      <c r="B1" s="7" t="s">
        <v>281</v>
      </c>
    </row>
    <row r="7" spans="1:7">
      <c r="A7" s="78" t="s">
        <v>7</v>
      </c>
      <c r="B7" s="78" t="s">
        <v>288</v>
      </c>
      <c r="C7" s="78" t="s">
        <v>287</v>
      </c>
      <c r="D7" s="78" t="s">
        <v>286</v>
      </c>
      <c r="E7" s="78" t="s">
        <v>285</v>
      </c>
      <c r="F7" s="78" t="s">
        <v>295</v>
      </c>
      <c r="G7" s="78" t="s">
        <v>284</v>
      </c>
    </row>
    <row r="8" spans="1:7">
      <c r="A8" s="81">
        <v>1997</v>
      </c>
      <c r="B8" s="94">
        <v>0.40706610679626465</v>
      </c>
      <c r="C8" s="94">
        <v>0.20293015241622925</v>
      </c>
      <c r="D8" s="94">
        <v>6.357872486114502E-2</v>
      </c>
      <c r="E8" s="94"/>
      <c r="F8" s="94">
        <v>0.33424687385559082</v>
      </c>
      <c r="G8" s="95"/>
    </row>
    <row r="9" spans="1:7">
      <c r="A9" s="81">
        <v>1998</v>
      </c>
      <c r="B9" s="94">
        <v>0.41605845093727112</v>
      </c>
      <c r="C9" s="94">
        <v>0.20920924842357635</v>
      </c>
      <c r="D9" s="94">
        <v>6.3156314194202423E-2</v>
      </c>
      <c r="E9" s="94"/>
      <c r="F9" s="94">
        <v>0.34515029191970825</v>
      </c>
      <c r="G9" s="95"/>
    </row>
    <row r="10" spans="1:7">
      <c r="A10" s="81">
        <v>1999</v>
      </c>
      <c r="B10" s="94">
        <v>0.40051659941673279</v>
      </c>
      <c r="C10" s="94">
        <v>0.18976306915283203</v>
      </c>
      <c r="D10" s="94">
        <v>6.1287194490432739E-2</v>
      </c>
      <c r="E10" s="94"/>
      <c r="F10" s="94">
        <v>0.33196172118186951</v>
      </c>
      <c r="G10" s="95"/>
    </row>
    <row r="11" spans="1:7">
      <c r="A11" s="81">
        <v>2000</v>
      </c>
      <c r="B11" s="94">
        <v>0.41539976000785828</v>
      </c>
      <c r="C11" s="94">
        <v>0.20152294635772705</v>
      </c>
      <c r="D11" s="94">
        <v>7.4917323887348175E-2</v>
      </c>
      <c r="E11" s="94"/>
      <c r="F11" s="94">
        <v>0.34692710638046265</v>
      </c>
      <c r="G11" s="95"/>
    </row>
    <row r="12" spans="1:7">
      <c r="A12" s="81">
        <v>2001</v>
      </c>
      <c r="B12" s="94">
        <v>0.41982612013816833</v>
      </c>
      <c r="C12" s="94">
        <v>0.2035394161939621</v>
      </c>
      <c r="D12" s="94">
        <v>9.2410117387771606E-2</v>
      </c>
      <c r="E12" s="94"/>
      <c r="F12" s="94">
        <v>0.35386699438095093</v>
      </c>
      <c r="G12" s="95"/>
    </row>
    <row r="13" spans="1:7">
      <c r="A13" s="81">
        <v>2002</v>
      </c>
      <c r="B13" s="94">
        <v>0.43478360772132874</v>
      </c>
      <c r="C13" s="94">
        <v>0.2319653183221817</v>
      </c>
      <c r="D13" s="94">
        <v>0.10377614945173264</v>
      </c>
      <c r="E13" s="94">
        <v>9.1809973120689392E-2</v>
      </c>
      <c r="F13" s="94">
        <v>0.37148371338844299</v>
      </c>
      <c r="G13" s="95"/>
    </row>
    <row r="14" spans="1:7">
      <c r="A14" s="81">
        <v>2003</v>
      </c>
      <c r="B14" s="94">
        <v>0.40347963571548462</v>
      </c>
      <c r="C14" s="94">
        <v>0.22162090241909027</v>
      </c>
      <c r="D14" s="94">
        <v>0.10095098614692688</v>
      </c>
      <c r="E14" s="94">
        <v>4.1454266756772995E-2</v>
      </c>
      <c r="F14" s="94">
        <v>0.33909502625465393</v>
      </c>
      <c r="G14" s="95"/>
    </row>
    <row r="15" spans="1:7">
      <c r="A15" s="81">
        <v>2004</v>
      </c>
      <c r="B15" s="94">
        <v>0.40349698066711426</v>
      </c>
      <c r="C15" s="94">
        <v>0.22293344140052795</v>
      </c>
      <c r="D15" s="94">
        <v>0.10426159203052521</v>
      </c>
      <c r="E15" s="94">
        <v>6.4143814146518707E-2</v>
      </c>
      <c r="F15" s="94">
        <v>0.343120276927948</v>
      </c>
      <c r="G15" s="95"/>
    </row>
    <row r="16" spans="1:7">
      <c r="A16" s="81">
        <v>2005</v>
      </c>
      <c r="B16" s="94">
        <v>0.39323541522026062</v>
      </c>
      <c r="C16" s="94">
        <v>0.20295178890228271</v>
      </c>
      <c r="D16" s="94">
        <v>0.10409189015626907</v>
      </c>
      <c r="E16" s="94">
        <v>6.2202256172895432E-2</v>
      </c>
      <c r="F16" s="94">
        <v>0.33405062556266785</v>
      </c>
      <c r="G16" s="95"/>
    </row>
    <row r="17" spans="1:7">
      <c r="A17" s="81">
        <v>2006</v>
      </c>
      <c r="B17" s="94">
        <v>0.4088301956653595</v>
      </c>
      <c r="C17" s="94">
        <v>0.2285366952419281</v>
      </c>
      <c r="D17" s="94">
        <v>0.10367147624492645</v>
      </c>
      <c r="E17" s="94">
        <v>7.1531884372234344E-2</v>
      </c>
      <c r="F17" s="94">
        <v>0.34703674912452698</v>
      </c>
      <c r="G17" s="95"/>
    </row>
    <row r="18" spans="1:7">
      <c r="A18" s="81">
        <v>2007</v>
      </c>
      <c r="B18" s="94">
        <v>0.40542653203010559</v>
      </c>
      <c r="C18" s="94">
        <v>0.23905506730079651</v>
      </c>
      <c r="D18" s="94">
        <v>0.10720806568861008</v>
      </c>
      <c r="E18" s="94">
        <v>7.0359282195568085E-2</v>
      </c>
      <c r="F18" s="94">
        <v>0.34584519267082214</v>
      </c>
      <c r="G18" s="95"/>
    </row>
    <row r="19" spans="1:7">
      <c r="A19" s="81">
        <v>2008</v>
      </c>
      <c r="B19" s="94">
        <v>0.40239152312278748</v>
      </c>
      <c r="C19" s="94">
        <v>0.24747711420059204</v>
      </c>
      <c r="D19" s="94">
        <v>0.12389621138572693</v>
      </c>
      <c r="E19" s="94">
        <v>7.0746034383773804E-2</v>
      </c>
      <c r="F19" s="94">
        <v>0.34557852149009705</v>
      </c>
      <c r="G19" s="95"/>
    </row>
    <row r="20" spans="1:7">
      <c r="A20" s="81">
        <v>2009</v>
      </c>
      <c r="B20" s="94">
        <v>0.38876757025718689</v>
      </c>
      <c r="C20" s="94">
        <v>0.25150769948959351</v>
      </c>
      <c r="D20" s="94">
        <v>0.15148444473743439</v>
      </c>
      <c r="E20" s="94">
        <v>5.8047939091920853E-2</v>
      </c>
      <c r="F20" s="94">
        <v>0.33728101849555969</v>
      </c>
      <c r="G20" s="95"/>
    </row>
    <row r="21" spans="1:7">
      <c r="A21" s="81">
        <v>2010</v>
      </c>
      <c r="B21" s="94">
        <v>0.39768064022064209</v>
      </c>
      <c r="C21" s="94">
        <v>0.25195500254631042</v>
      </c>
      <c r="D21" s="94">
        <v>0.14698772132396698</v>
      </c>
      <c r="E21" s="94">
        <v>6.4008466899394989E-2</v>
      </c>
      <c r="F21" s="94">
        <v>0.34562382102012634</v>
      </c>
      <c r="G21" s="95"/>
    </row>
    <row r="22" spans="1:7">
      <c r="A22" s="81">
        <v>2011</v>
      </c>
      <c r="B22" s="94">
        <v>0.38785243034362793</v>
      </c>
      <c r="C22" s="94">
        <v>0.24632717669010162</v>
      </c>
      <c r="D22" s="94">
        <v>0.12762962281703949</v>
      </c>
      <c r="E22" s="94">
        <v>6.4321018755435944E-2</v>
      </c>
      <c r="F22" s="94">
        <v>0.33580508828163147</v>
      </c>
      <c r="G22" s="95"/>
    </row>
    <row r="23" spans="1:7">
      <c r="A23" s="81">
        <v>2012</v>
      </c>
      <c r="B23" s="94">
        <v>0.39122891426086426</v>
      </c>
      <c r="C23" s="94">
        <v>0.26180568337440491</v>
      </c>
      <c r="D23" s="94">
        <v>0.13372363150119781</v>
      </c>
      <c r="E23" s="94">
        <v>6.9598227739334106E-2</v>
      </c>
      <c r="F23" s="94">
        <v>0.34096163511276245</v>
      </c>
      <c r="G23" s="95"/>
    </row>
    <row r="24" spans="1:7">
      <c r="A24" s="81">
        <v>2013</v>
      </c>
      <c r="B24" s="94">
        <v>0.37491831183433533</v>
      </c>
      <c r="C24" s="94">
        <v>0.25180691480636597</v>
      </c>
      <c r="D24" s="94">
        <v>0.13375407457351685</v>
      </c>
      <c r="E24" s="94">
        <v>6.8977765738964081E-2</v>
      </c>
      <c r="F24" s="94">
        <v>0.33038163185119629</v>
      </c>
      <c r="G24" s="95"/>
    </row>
    <row r="25" spans="1:7">
      <c r="A25" s="81">
        <v>2014</v>
      </c>
      <c r="B25" s="94">
        <v>0.37156978249549866</v>
      </c>
      <c r="C25" s="94">
        <v>0.24617001414299011</v>
      </c>
      <c r="D25" s="94">
        <v>0.13624139130115509</v>
      </c>
      <c r="E25" s="94">
        <v>7.3816359043121338E-2</v>
      </c>
      <c r="F25" s="94">
        <v>0.32707852125167847</v>
      </c>
      <c r="G25" s="95"/>
    </row>
    <row r="26" spans="1:7">
      <c r="A26" s="81">
        <v>2015</v>
      </c>
      <c r="B26" s="94">
        <v>0.35323959589004517</v>
      </c>
      <c r="C26" s="94">
        <v>0.21471129357814789</v>
      </c>
      <c r="D26" s="94">
        <v>0.13570542633533478</v>
      </c>
      <c r="E26" s="94">
        <v>7.2158791124820709E-2</v>
      </c>
      <c r="F26" s="94">
        <v>0.31262382864952087</v>
      </c>
      <c r="G26" s="95"/>
    </row>
    <row r="27" spans="1:7">
      <c r="A27" s="81">
        <v>2016</v>
      </c>
      <c r="B27" s="94">
        <v>0.3475799560546875</v>
      </c>
      <c r="C27" s="94">
        <v>0.21303722262382507</v>
      </c>
      <c r="D27" s="94">
        <v>0.14110736548900604</v>
      </c>
      <c r="E27" s="94">
        <v>7.4308648705482483E-2</v>
      </c>
      <c r="F27" s="94">
        <v>0.30812123417854309</v>
      </c>
      <c r="G27" s="95"/>
    </row>
    <row r="28" spans="1:7">
      <c r="A28" s="81">
        <v>2017</v>
      </c>
      <c r="B28" s="94">
        <v>0.3476288914680481</v>
      </c>
      <c r="C28" s="94">
        <v>0.21721599996089935</v>
      </c>
      <c r="D28" s="94">
        <v>0.14471341669559479</v>
      </c>
      <c r="E28" s="94">
        <v>7.8325934708118439E-2</v>
      </c>
      <c r="F28" s="94">
        <v>0.30834457278251648</v>
      </c>
      <c r="G28" s="95"/>
    </row>
    <row r="29" spans="1:7">
      <c r="A29" s="81">
        <v>2018</v>
      </c>
      <c r="B29" s="94">
        <v>0.34790334105491638</v>
      </c>
      <c r="C29" s="94">
        <v>0.21825182437896729</v>
      </c>
      <c r="D29" s="94">
        <v>0.13798846304416656</v>
      </c>
      <c r="E29" s="94">
        <v>7.7413164079189301E-2</v>
      </c>
      <c r="F29" s="94">
        <v>0.30857351422309875</v>
      </c>
      <c r="G29" s="95"/>
    </row>
    <row r="30" spans="1:7">
      <c r="A30" s="81">
        <v>2019</v>
      </c>
      <c r="B30" s="94">
        <v>0.35687631368637085</v>
      </c>
      <c r="C30" s="94">
        <v>0.22546803951263428</v>
      </c>
      <c r="D30" s="94">
        <v>0.14772646129131317</v>
      </c>
      <c r="E30" s="94">
        <v>7.5465075671672821E-2</v>
      </c>
      <c r="F30" s="94">
        <v>0.31622609496116638</v>
      </c>
      <c r="G30" s="95"/>
    </row>
    <row r="31" spans="1:7">
      <c r="A31" s="81">
        <v>2020</v>
      </c>
      <c r="B31" s="94">
        <v>0.3662269115447998</v>
      </c>
      <c r="C31" s="94">
        <v>0.24969638884067535</v>
      </c>
      <c r="D31" s="94">
        <v>0.16209907829761505</v>
      </c>
      <c r="E31" s="94">
        <v>9.5106989145278931E-2</v>
      </c>
      <c r="F31" s="94">
        <v>0.3308243453502655</v>
      </c>
      <c r="G31" s="95"/>
    </row>
    <row r="32" spans="1:7">
      <c r="A32" s="81">
        <v>2021</v>
      </c>
      <c r="B32" s="94">
        <v>0.36152973771095276</v>
      </c>
      <c r="C32" s="94">
        <v>0.23870301246643066</v>
      </c>
      <c r="D32" s="94">
        <v>0.15271161496639252</v>
      </c>
      <c r="E32" s="94">
        <v>0.1086883470416069</v>
      </c>
      <c r="F32" s="94">
        <v>0.32756102085113525</v>
      </c>
      <c r="G32" s="93">
        <v>0.29870945215225198</v>
      </c>
    </row>
    <row r="33" spans="2:7">
      <c r="B33" s="92"/>
      <c r="C33" s="92"/>
      <c r="D33" s="92"/>
      <c r="E33" s="92"/>
      <c r="F33" s="92"/>
      <c r="G33" s="92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5566-8EFB-4226-B664-3E5C2C6237CB}">
  <dimension ref="A1:J23"/>
  <sheetViews>
    <sheetView workbookViewId="0">
      <selection activeCell="A2" sqref="A2"/>
    </sheetView>
  </sheetViews>
  <sheetFormatPr baseColWidth="10" defaultColWidth="11.44140625" defaultRowHeight="14.4"/>
  <cols>
    <col min="1" max="16384" width="11.44140625" style="6"/>
  </cols>
  <sheetData>
    <row r="1" spans="1:10">
      <c r="A1" s="61" t="s">
        <v>736</v>
      </c>
      <c r="B1" s="61" t="s">
        <v>522</v>
      </c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6" t="s">
        <v>50</v>
      </c>
      <c r="B4" s="50">
        <v>8</v>
      </c>
      <c r="C4" s="1"/>
      <c r="D4" s="1"/>
      <c r="E4" s="1"/>
      <c r="F4" s="1"/>
      <c r="G4" s="1"/>
      <c r="H4" s="1"/>
      <c r="I4" s="1"/>
      <c r="J4" s="1"/>
    </row>
    <row r="5" spans="1:10">
      <c r="A5" s="6" t="s">
        <v>49</v>
      </c>
      <c r="B5" s="50">
        <v>10</v>
      </c>
      <c r="C5" s="1"/>
      <c r="D5" s="1"/>
      <c r="E5" s="1"/>
      <c r="F5" s="1"/>
      <c r="G5" s="1"/>
      <c r="H5" s="1"/>
      <c r="I5" s="1"/>
      <c r="J5" s="1"/>
    </row>
    <row r="6" spans="1:10">
      <c r="A6" s="6" t="s">
        <v>53</v>
      </c>
      <c r="B6" s="50">
        <v>12</v>
      </c>
      <c r="C6" s="1"/>
      <c r="D6" s="1"/>
      <c r="E6" s="1"/>
      <c r="F6" s="1"/>
      <c r="G6" s="1"/>
      <c r="H6" s="1"/>
      <c r="I6" s="1"/>
      <c r="J6" s="1"/>
    </row>
    <row r="7" spans="1:10">
      <c r="A7" s="6" t="s">
        <v>394</v>
      </c>
      <c r="B7" s="50">
        <v>12.000000000000002</v>
      </c>
      <c r="C7" s="1"/>
      <c r="D7" s="1"/>
      <c r="E7" s="1"/>
      <c r="F7" s="1"/>
      <c r="G7" s="1"/>
      <c r="H7" s="1"/>
      <c r="I7" s="1"/>
      <c r="J7" s="1"/>
    </row>
    <row r="8" spans="1:10">
      <c r="A8" s="6" t="s">
        <v>455</v>
      </c>
      <c r="B8" s="50">
        <v>13</v>
      </c>
      <c r="C8" s="1"/>
      <c r="D8" s="1"/>
      <c r="E8" s="1"/>
      <c r="F8" s="1"/>
      <c r="G8" s="1"/>
      <c r="H8" s="1"/>
      <c r="I8" s="1"/>
      <c r="J8" s="1"/>
    </row>
    <row r="9" spans="1:10">
      <c r="A9" s="6" t="s">
        <v>48</v>
      </c>
      <c r="B9" s="50">
        <v>14.000000000000002</v>
      </c>
      <c r="C9" s="1"/>
      <c r="D9" s="1"/>
      <c r="E9" s="1"/>
      <c r="F9" s="1"/>
      <c r="G9" s="1"/>
      <c r="H9" s="1"/>
      <c r="I9" s="1"/>
      <c r="J9" s="1"/>
    </row>
    <row r="10" spans="1:10">
      <c r="A10" s="6" t="s">
        <v>1</v>
      </c>
      <c r="B10" s="50">
        <v>17</v>
      </c>
      <c r="C10" s="1"/>
      <c r="D10" s="1"/>
      <c r="E10" s="1"/>
      <c r="F10" s="1"/>
      <c r="G10" s="1"/>
      <c r="H10" s="1"/>
      <c r="I10" s="1"/>
      <c r="J10" s="1"/>
    </row>
    <row r="11" spans="1:10">
      <c r="A11" s="6" t="s">
        <v>45</v>
      </c>
      <c r="B11" s="50">
        <v>17</v>
      </c>
      <c r="C11" s="1"/>
      <c r="D11" s="1"/>
      <c r="E11" s="1"/>
      <c r="F11" s="1"/>
      <c r="G11" s="1"/>
      <c r="H11" s="1"/>
      <c r="I11" s="1"/>
      <c r="J11" s="1"/>
    </row>
    <row r="12" spans="1:10">
      <c r="A12" s="6" t="s">
        <v>52</v>
      </c>
      <c r="B12" s="50">
        <v>17</v>
      </c>
      <c r="C12" s="1"/>
      <c r="D12" s="1"/>
      <c r="E12" s="1"/>
      <c r="F12" s="1"/>
      <c r="G12" s="1"/>
    </row>
    <row r="13" spans="1:10">
      <c r="A13" s="6" t="s">
        <v>0</v>
      </c>
      <c r="B13" s="50">
        <v>17</v>
      </c>
      <c r="C13" s="150"/>
      <c r="D13" s="3"/>
      <c r="E13" s="3"/>
      <c r="F13" s="3"/>
      <c r="G13" s="3"/>
    </row>
    <row r="14" spans="1:10">
      <c r="A14" s="6" t="s">
        <v>521</v>
      </c>
      <c r="B14" s="50">
        <v>18</v>
      </c>
      <c r="C14" s="150"/>
      <c r="D14" s="3"/>
      <c r="E14" s="3"/>
      <c r="F14" s="3"/>
      <c r="G14" s="3"/>
    </row>
    <row r="15" spans="1:10">
      <c r="A15" s="6" t="s">
        <v>520</v>
      </c>
      <c r="B15" s="50">
        <v>18</v>
      </c>
    </row>
    <row r="16" spans="1:10">
      <c r="A16" s="6" t="s">
        <v>459</v>
      </c>
      <c r="B16" s="50">
        <v>19</v>
      </c>
    </row>
    <row r="17" spans="1:2">
      <c r="A17" s="6" t="s">
        <v>519</v>
      </c>
      <c r="B17" s="50">
        <v>20</v>
      </c>
    </row>
    <row r="18" spans="1:2">
      <c r="A18" s="6" t="s">
        <v>40</v>
      </c>
      <c r="B18" s="50">
        <v>21.000000000000004</v>
      </c>
    </row>
    <row r="19" spans="1:2">
      <c r="A19" s="6" t="s">
        <v>57</v>
      </c>
      <c r="B19" s="50">
        <v>24.000000000000004</v>
      </c>
    </row>
    <row r="20" spans="1:2">
      <c r="A20" s="6" t="s">
        <v>54</v>
      </c>
      <c r="B20" s="50">
        <v>26</v>
      </c>
    </row>
    <row r="21" spans="1:2">
      <c r="A21" s="148"/>
    </row>
    <row r="22" spans="1:2">
      <c r="A22" s="149"/>
    </row>
    <row r="23" spans="1:2">
      <c r="A23" s="148"/>
    </row>
  </sheetData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3029-4643-4C8E-8C2C-CE41631133BC}">
  <dimension ref="A1:D21"/>
  <sheetViews>
    <sheetView workbookViewId="0">
      <selection activeCell="A2" sqref="A2"/>
    </sheetView>
  </sheetViews>
  <sheetFormatPr baseColWidth="10" defaultColWidth="11.44140625" defaultRowHeight="14.4"/>
  <cols>
    <col min="1" max="16384" width="11.44140625" style="6"/>
  </cols>
  <sheetData>
    <row r="1" spans="1:4">
      <c r="A1" s="7" t="s">
        <v>737</v>
      </c>
      <c r="B1" s="7" t="s">
        <v>735</v>
      </c>
    </row>
    <row r="4" spans="1:4">
      <c r="A4" s="4"/>
      <c r="B4" s="4" t="s">
        <v>525</v>
      </c>
      <c r="C4" s="4" t="s">
        <v>524</v>
      </c>
      <c r="D4" s="4" t="s">
        <v>523</v>
      </c>
    </row>
    <row r="5" spans="1:4">
      <c r="A5" s="4" t="s">
        <v>53</v>
      </c>
      <c r="B5" s="4">
        <v>7.3</v>
      </c>
      <c r="C5" s="4">
        <v>12.7</v>
      </c>
      <c r="D5" s="4">
        <v>14.7</v>
      </c>
    </row>
    <row r="6" spans="1:4">
      <c r="A6" s="4" t="s">
        <v>50</v>
      </c>
      <c r="B6" s="4">
        <v>7.5</v>
      </c>
      <c r="C6" s="4">
        <v>6.3</v>
      </c>
      <c r="D6" s="4">
        <v>9</v>
      </c>
    </row>
    <row r="7" spans="1:4">
      <c r="A7" s="4" t="s">
        <v>49</v>
      </c>
      <c r="B7" s="4">
        <v>7.9</v>
      </c>
      <c r="C7" s="4">
        <v>10.199999999999999</v>
      </c>
      <c r="D7" s="4">
        <v>10.299999999999999</v>
      </c>
    </row>
    <row r="8" spans="1:4">
      <c r="A8" s="4" t="s">
        <v>394</v>
      </c>
      <c r="B8" s="4">
        <v>12.1</v>
      </c>
      <c r="C8" s="4">
        <v>16.5</v>
      </c>
      <c r="D8" s="4">
        <v>9.7000000000000011</v>
      </c>
    </row>
    <row r="9" spans="1:4">
      <c r="A9" s="4" t="s">
        <v>54</v>
      </c>
      <c r="B9" s="4">
        <v>12.1</v>
      </c>
      <c r="C9" s="4">
        <v>27.500000000000004</v>
      </c>
      <c r="D9" s="4">
        <v>30.599999999999998</v>
      </c>
    </row>
    <row r="10" spans="1:4">
      <c r="A10" s="4" t="s">
        <v>52</v>
      </c>
      <c r="B10" s="4">
        <v>12.3</v>
      </c>
      <c r="C10" s="4">
        <v>20.200000000000003</v>
      </c>
      <c r="D10" s="4">
        <v>16.900000000000002</v>
      </c>
    </row>
    <row r="11" spans="1:4">
      <c r="A11" s="4" t="s">
        <v>48</v>
      </c>
      <c r="B11" s="4">
        <v>13.5</v>
      </c>
      <c r="C11" s="4">
        <v>12.3</v>
      </c>
      <c r="D11" s="4">
        <v>16.8</v>
      </c>
    </row>
    <row r="12" spans="1:4">
      <c r="A12" s="4" t="s">
        <v>520</v>
      </c>
      <c r="B12" s="4">
        <v>13.5</v>
      </c>
      <c r="C12" s="4">
        <v>24.4</v>
      </c>
      <c r="D12" s="4">
        <v>16</v>
      </c>
    </row>
    <row r="13" spans="1:4">
      <c r="A13" s="4" t="s">
        <v>1</v>
      </c>
      <c r="B13" s="4">
        <v>13.8</v>
      </c>
      <c r="C13" s="4">
        <v>18</v>
      </c>
      <c r="D13" s="4">
        <v>16.900000000000002</v>
      </c>
    </row>
    <row r="14" spans="1:4">
      <c r="A14" s="4" t="s">
        <v>459</v>
      </c>
      <c r="B14" s="4">
        <v>15.6</v>
      </c>
      <c r="C14" s="4">
        <v>20.3</v>
      </c>
      <c r="D14" s="4">
        <v>21.4</v>
      </c>
    </row>
    <row r="15" spans="1:4">
      <c r="A15" s="4" t="s">
        <v>455</v>
      </c>
      <c r="B15" s="4">
        <v>16.100000000000001</v>
      </c>
      <c r="C15" s="4">
        <v>15.1</v>
      </c>
      <c r="D15" s="4">
        <v>10.8</v>
      </c>
    </row>
    <row r="16" spans="1:4">
      <c r="A16" s="4" t="s">
        <v>0</v>
      </c>
      <c r="B16" s="4">
        <v>16.100000000000001</v>
      </c>
      <c r="C16" s="4">
        <v>19.7</v>
      </c>
      <c r="D16" s="4">
        <v>16.3</v>
      </c>
    </row>
    <row r="17" spans="1:4">
      <c r="A17" s="4" t="s">
        <v>40</v>
      </c>
      <c r="B17" s="4">
        <v>16.8</v>
      </c>
      <c r="C17" s="4">
        <v>27.3</v>
      </c>
      <c r="D17" s="4">
        <v>19.5</v>
      </c>
    </row>
    <row r="18" spans="1:4">
      <c r="A18" s="4" t="s">
        <v>521</v>
      </c>
      <c r="B18" s="4">
        <v>18.399999999999999</v>
      </c>
      <c r="C18" s="4">
        <v>15.299999999999999</v>
      </c>
      <c r="D18" s="4">
        <v>19.400000000000002</v>
      </c>
    </row>
    <row r="19" spans="1:4">
      <c r="A19" s="4" t="s">
        <v>45</v>
      </c>
      <c r="B19" s="4">
        <v>18.5</v>
      </c>
      <c r="C19" s="4">
        <v>15.4</v>
      </c>
      <c r="D19" s="4">
        <v>16.900000000000002</v>
      </c>
    </row>
    <row r="20" spans="1:4">
      <c r="A20" s="4" t="s">
        <v>57</v>
      </c>
      <c r="B20" s="4">
        <v>19.5</v>
      </c>
      <c r="C20" s="4">
        <v>27</v>
      </c>
      <c r="D20" s="4">
        <v>25</v>
      </c>
    </row>
    <row r="21" spans="1:4">
      <c r="A21" s="4" t="s">
        <v>519</v>
      </c>
      <c r="B21" s="4">
        <v>20.3</v>
      </c>
      <c r="C21" s="4">
        <v>20.399999999999999</v>
      </c>
      <c r="D21" s="4">
        <v>20.200000000000003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1D12-EEDB-4EFD-8B3D-C7E546E43E08}">
  <dimension ref="A1:B11"/>
  <sheetViews>
    <sheetView workbookViewId="0">
      <selection activeCell="H34" sqref="H34"/>
    </sheetView>
  </sheetViews>
  <sheetFormatPr baseColWidth="10" defaultColWidth="11.44140625" defaultRowHeight="14.4"/>
  <cols>
    <col min="1" max="1" width="34.6640625" style="6" bestFit="1" customWidth="1"/>
    <col min="2" max="16384" width="11.44140625" style="6"/>
  </cols>
  <sheetData>
    <row r="1" spans="1:2">
      <c r="A1" s="7" t="s">
        <v>554</v>
      </c>
      <c r="B1" s="205" t="s">
        <v>778</v>
      </c>
    </row>
    <row r="4" spans="1:2">
      <c r="A4" s="6" t="s">
        <v>561</v>
      </c>
      <c r="B4" s="6">
        <v>74</v>
      </c>
    </row>
    <row r="5" spans="1:2">
      <c r="A5" s="6" t="s">
        <v>560</v>
      </c>
      <c r="B5" s="6">
        <v>68</v>
      </c>
    </row>
    <row r="6" spans="1:2">
      <c r="A6" s="6" t="s">
        <v>559</v>
      </c>
      <c r="B6" s="6">
        <v>67</v>
      </c>
    </row>
    <row r="7" spans="1:2">
      <c r="A7" s="6" t="s">
        <v>558</v>
      </c>
      <c r="B7" s="6">
        <v>30</v>
      </c>
    </row>
    <row r="8" spans="1:2">
      <c r="A8" s="6" t="s">
        <v>557</v>
      </c>
      <c r="B8" s="6">
        <v>23</v>
      </c>
    </row>
    <row r="9" spans="1:2">
      <c r="A9" s="6" t="s">
        <v>781</v>
      </c>
      <c r="B9" s="6">
        <v>21</v>
      </c>
    </row>
    <row r="10" spans="1:2">
      <c r="A10" s="6" t="s">
        <v>556</v>
      </c>
      <c r="B10" s="6">
        <v>17</v>
      </c>
    </row>
    <row r="11" spans="1:2">
      <c r="A11" s="6" t="s">
        <v>555</v>
      </c>
      <c r="B11" s="6">
        <v>2</v>
      </c>
    </row>
  </sheetData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6A1C-8882-4049-BDD8-B5DC1FF2170A}">
  <dimension ref="A1:O132"/>
  <sheetViews>
    <sheetView zoomScaleNormal="100" workbookViewId="0">
      <selection activeCell="B9" sqref="B9"/>
    </sheetView>
  </sheetViews>
  <sheetFormatPr baseColWidth="10" defaultColWidth="11.44140625" defaultRowHeight="14.4"/>
  <cols>
    <col min="1" max="1" width="128.88671875" style="6" bestFit="1" customWidth="1"/>
    <col min="2" max="2" width="14.44140625" style="6" customWidth="1"/>
    <col min="3" max="3" width="14.109375" style="6" bestFit="1" customWidth="1"/>
    <col min="4" max="4" width="32.88671875" style="6" customWidth="1"/>
    <col min="5" max="11" width="11.44140625" style="6"/>
    <col min="12" max="12" width="31.5546875" style="6" customWidth="1"/>
    <col min="13" max="16384" width="11.44140625" style="6"/>
  </cols>
  <sheetData>
    <row r="1" spans="1:15">
      <c r="A1" s="7" t="s">
        <v>562</v>
      </c>
      <c r="B1" s="7" t="s">
        <v>529</v>
      </c>
    </row>
    <row r="2" spans="1:15">
      <c r="C2" s="7"/>
      <c r="D2" s="107"/>
      <c r="E2" s="7"/>
      <c r="F2" s="7"/>
      <c r="L2" s="107"/>
    </row>
    <row r="3" spans="1:15">
      <c r="A3" s="7"/>
      <c r="C3" s="152"/>
      <c r="E3" s="153"/>
      <c r="F3" s="153"/>
      <c r="L3" s="109"/>
    </row>
    <row r="4" spans="1:15">
      <c r="A4" s="4" t="s">
        <v>589</v>
      </c>
      <c r="B4" s="157">
        <v>457700</v>
      </c>
      <c r="E4" s="153"/>
      <c r="F4" s="153"/>
      <c r="L4" s="109"/>
    </row>
    <row r="5" spans="1:15">
      <c r="A5" s="6" t="s">
        <v>588</v>
      </c>
      <c r="B5" s="157">
        <f>ROUND(37882*12,-2)</f>
        <v>454600</v>
      </c>
      <c r="D5" s="155"/>
      <c r="E5" s="153"/>
      <c r="F5" s="153"/>
      <c r="G5" s="156"/>
      <c r="L5" s="109"/>
    </row>
    <row r="6" spans="1:15">
      <c r="A6" s="6" t="s">
        <v>783</v>
      </c>
      <c r="B6" s="154">
        <v>433370</v>
      </c>
      <c r="D6" s="157"/>
      <c r="E6" s="153"/>
      <c r="F6" s="153"/>
      <c r="G6" s="156"/>
    </row>
    <row r="7" spans="1:15">
      <c r="A7" s="6" t="s">
        <v>587</v>
      </c>
      <c r="B7" s="165">
        <f>ROUND(215.5*1950,-2)</f>
        <v>420200</v>
      </c>
      <c r="D7" s="157"/>
      <c r="E7" s="153"/>
      <c r="F7" s="153"/>
      <c r="L7" s="7"/>
      <c r="M7" s="158"/>
      <c r="N7" s="158"/>
      <c r="O7" s="158"/>
    </row>
    <row r="8" spans="1:15">
      <c r="A8" s="6" t="s">
        <v>586</v>
      </c>
      <c r="B8" s="154">
        <f>ROUND(34727.36*12,-2)</f>
        <v>416700</v>
      </c>
      <c r="D8" s="155"/>
      <c r="E8" s="153"/>
      <c r="F8" s="153"/>
      <c r="G8" s="156"/>
    </row>
    <row r="9" spans="1:15">
      <c r="A9" s="6" t="s">
        <v>585</v>
      </c>
      <c r="B9" s="157">
        <v>415300</v>
      </c>
      <c r="D9" s="157"/>
      <c r="E9" s="153"/>
      <c r="F9" s="153"/>
      <c r="G9" s="156"/>
    </row>
    <row r="10" spans="1:15" ht="16.2">
      <c r="A10" s="163" t="s">
        <v>584</v>
      </c>
      <c r="B10" s="157">
        <v>412000</v>
      </c>
      <c r="D10" s="157"/>
      <c r="E10" s="153"/>
      <c r="F10" s="153"/>
      <c r="G10" s="156"/>
    </row>
    <row r="11" spans="1:15" ht="15" thickBot="1">
      <c r="A11" s="6" t="s">
        <v>583</v>
      </c>
      <c r="B11" s="154">
        <f>ROUND(34321.14*12,-2)</f>
        <v>411900</v>
      </c>
      <c r="D11" s="155"/>
      <c r="E11" s="153"/>
      <c r="F11" s="153"/>
      <c r="G11" s="156"/>
    </row>
    <row r="12" spans="1:15" ht="15" thickBot="1">
      <c r="A12" s="209" t="s">
        <v>582</v>
      </c>
      <c r="B12" s="157">
        <f>ROUND(32992.38*12,-2)</f>
        <v>395900</v>
      </c>
      <c r="D12" s="157"/>
      <c r="E12" s="153"/>
      <c r="F12" s="153"/>
      <c r="G12" s="156"/>
    </row>
    <row r="13" spans="1:15" ht="15" thickBot="1">
      <c r="A13" s="6" t="s">
        <v>581</v>
      </c>
      <c r="B13" s="157">
        <v>393900</v>
      </c>
      <c r="D13" s="157"/>
      <c r="E13" s="153"/>
      <c r="F13" s="153"/>
      <c r="G13" s="156"/>
    </row>
    <row r="14" spans="1:15" ht="15" thickBot="1">
      <c r="A14" s="4" t="s">
        <v>580</v>
      </c>
      <c r="B14" s="160">
        <v>389000</v>
      </c>
      <c r="D14" s="161"/>
      <c r="E14" s="153"/>
      <c r="F14" s="153"/>
      <c r="G14" s="156"/>
    </row>
    <row r="15" spans="1:15">
      <c r="A15" s="109" t="s">
        <v>782</v>
      </c>
      <c r="B15" s="154">
        <v>387840</v>
      </c>
      <c r="D15" s="157"/>
      <c r="E15" s="153"/>
      <c r="F15" s="153"/>
    </row>
    <row r="16" spans="1:15">
      <c r="A16" s="6" t="s">
        <v>579</v>
      </c>
      <c r="B16" s="154">
        <f>ROUND(198.5*1950,-2)</f>
        <v>387100</v>
      </c>
      <c r="D16" s="157"/>
      <c r="E16" s="153"/>
      <c r="F16" s="153"/>
    </row>
    <row r="17" spans="1:7" ht="15" thickBot="1">
      <c r="A17" s="4" t="s">
        <v>578</v>
      </c>
      <c r="B17" s="154">
        <v>383000</v>
      </c>
      <c r="D17" s="155"/>
      <c r="E17" s="153"/>
      <c r="F17" s="153"/>
      <c r="G17" s="156"/>
    </row>
    <row r="18" spans="1:7" ht="15" thickBot="1">
      <c r="A18" s="6" t="s">
        <v>577</v>
      </c>
      <c r="B18" s="208">
        <f>ROUND(31802.88*12,-2)</f>
        <v>381600</v>
      </c>
      <c r="D18" s="161"/>
      <c r="E18" s="153"/>
      <c r="F18" s="153"/>
    </row>
    <row r="19" spans="1:7">
      <c r="A19" s="4" t="s">
        <v>576</v>
      </c>
      <c r="B19" s="207">
        <v>373000</v>
      </c>
      <c r="D19" s="155"/>
      <c r="E19" s="153"/>
      <c r="F19" s="153"/>
      <c r="G19" s="156"/>
    </row>
    <row r="20" spans="1:7">
      <c r="A20" s="6" t="s">
        <v>575</v>
      </c>
      <c r="B20" s="157">
        <f>ROUND(190.79*1950,-2)</f>
        <v>372000</v>
      </c>
      <c r="D20" s="157"/>
      <c r="E20" s="153"/>
      <c r="F20" s="153"/>
      <c r="G20" s="156"/>
    </row>
    <row r="21" spans="1:7">
      <c r="A21" s="6" t="s">
        <v>574</v>
      </c>
      <c r="B21" s="207">
        <v>371600</v>
      </c>
      <c r="D21" s="157"/>
      <c r="E21" s="153"/>
      <c r="F21" s="153"/>
      <c r="G21" s="156"/>
    </row>
    <row r="22" spans="1:7">
      <c r="A22" s="6" t="s">
        <v>573</v>
      </c>
      <c r="B22" s="154">
        <f>ROUND(188.5*1950,-2)</f>
        <v>367600</v>
      </c>
      <c r="D22" s="155"/>
      <c r="E22" s="153"/>
      <c r="F22" s="153"/>
      <c r="G22" s="156"/>
    </row>
    <row r="23" spans="1:7">
      <c r="A23" s="6" t="s">
        <v>572</v>
      </c>
      <c r="B23" s="157">
        <v>367200</v>
      </c>
      <c r="D23" s="155"/>
      <c r="E23" s="153"/>
      <c r="F23" s="153"/>
      <c r="G23" s="156"/>
    </row>
    <row r="24" spans="1:7" ht="15" thickBot="1">
      <c r="A24" s="6" t="s">
        <v>571</v>
      </c>
      <c r="B24" s="157">
        <f>ROUND(30480*12,-2)</f>
        <v>365800</v>
      </c>
      <c r="D24" s="162"/>
      <c r="E24" s="153"/>
      <c r="F24" s="153"/>
      <c r="G24" s="156"/>
    </row>
    <row r="25" spans="1:7" ht="15" thickBot="1">
      <c r="A25" s="159" t="s">
        <v>570</v>
      </c>
      <c r="B25" s="160">
        <v>360300</v>
      </c>
      <c r="D25" s="161"/>
      <c r="E25" s="153"/>
      <c r="F25" s="153"/>
      <c r="G25" s="156"/>
    </row>
    <row r="26" spans="1:7">
      <c r="A26" s="6" t="s">
        <v>569</v>
      </c>
      <c r="B26" s="157">
        <f>ROUND(182.5*1950,-2)</f>
        <v>355900</v>
      </c>
      <c r="D26" s="157"/>
      <c r="E26" s="153"/>
      <c r="F26" s="153"/>
      <c r="G26" s="156"/>
    </row>
    <row r="27" spans="1:7">
      <c r="A27" s="206" t="s">
        <v>568</v>
      </c>
      <c r="B27" s="157">
        <v>351200</v>
      </c>
      <c r="D27" s="157"/>
      <c r="E27" s="153"/>
      <c r="F27" s="153"/>
      <c r="G27" s="156"/>
    </row>
    <row r="28" spans="1:7">
      <c r="A28" s="4" t="s">
        <v>567</v>
      </c>
      <c r="B28" s="157">
        <f>ROUND(177.7*1950,-2)</f>
        <v>346500</v>
      </c>
      <c r="D28" s="157"/>
      <c r="E28" s="153"/>
      <c r="F28" s="153"/>
      <c r="G28" s="156"/>
    </row>
    <row r="29" spans="1:7">
      <c r="A29" s="159" t="s">
        <v>566</v>
      </c>
      <c r="B29" s="157">
        <v>341400</v>
      </c>
      <c r="D29" s="157"/>
      <c r="E29" s="153"/>
      <c r="F29" s="153"/>
      <c r="G29" s="156"/>
    </row>
    <row r="30" spans="1:7">
      <c r="A30" s="6" t="s">
        <v>565</v>
      </c>
      <c r="B30" s="157">
        <f>ROUND(28043*12,-2)</f>
        <v>336500</v>
      </c>
      <c r="D30" s="166"/>
      <c r="E30" s="153"/>
      <c r="F30" s="153"/>
      <c r="G30" s="156"/>
    </row>
    <row r="31" spans="1:7" ht="16.5" customHeight="1">
      <c r="A31" s="6" t="s">
        <v>564</v>
      </c>
      <c r="B31" s="157">
        <f>ROUND(27874*12,-2)</f>
        <v>334500</v>
      </c>
      <c r="D31" s="162"/>
    </row>
    <row r="32" spans="1:7">
      <c r="A32" s="6" t="s">
        <v>563</v>
      </c>
      <c r="B32" s="154">
        <f>ROUND(165.5*1950,-2)</f>
        <v>322700</v>
      </c>
      <c r="D32" s="157"/>
    </row>
    <row r="33" spans="1:4">
      <c r="D33" s="157"/>
    </row>
    <row r="38" spans="1:4">
      <c r="A38" s="7"/>
    </row>
    <row r="39" spans="1:4">
      <c r="A39" s="7"/>
    </row>
    <row r="40" spans="1:4">
      <c r="A40" s="7"/>
    </row>
    <row r="84" spans="4:5">
      <c r="D84" s="105"/>
      <c r="E84" s="167"/>
    </row>
    <row r="88" spans="4:5">
      <c r="D88" s="156"/>
      <c r="E88" s="167"/>
    </row>
    <row r="89" spans="4:5">
      <c r="D89" s="156"/>
      <c r="E89" s="167"/>
    </row>
    <row r="90" spans="4:5">
      <c r="E90" s="167"/>
    </row>
    <row r="91" spans="4:5">
      <c r="D91" s="156"/>
    </row>
    <row r="92" spans="4:5">
      <c r="D92" s="156"/>
      <c r="E92" s="167"/>
    </row>
    <row r="93" spans="4:5">
      <c r="D93" s="156"/>
      <c r="E93" s="167"/>
    </row>
    <row r="94" spans="4:5">
      <c r="D94" s="156"/>
      <c r="E94" s="167"/>
    </row>
    <row r="95" spans="4:5">
      <c r="D95" s="156"/>
      <c r="E95" s="167"/>
    </row>
    <row r="96" spans="4:5">
      <c r="D96" s="156"/>
      <c r="E96" s="167"/>
    </row>
    <row r="97" spans="4:14">
      <c r="D97" s="156"/>
      <c r="E97" s="168"/>
      <c r="M97" s="153"/>
      <c r="N97" s="153"/>
    </row>
    <row r="98" spans="4:14">
      <c r="D98" s="156"/>
      <c r="E98" s="167"/>
    </row>
    <row r="99" spans="4:14" ht="17.399999999999999">
      <c r="D99" s="156"/>
      <c r="E99" s="167"/>
      <c r="L99" s="169"/>
    </row>
    <row r="100" spans="4:14">
      <c r="D100" s="156"/>
      <c r="E100" s="167"/>
    </row>
    <row r="101" spans="4:14">
      <c r="D101" s="156"/>
      <c r="E101" s="168"/>
    </row>
    <row r="102" spans="4:14">
      <c r="D102" s="156"/>
      <c r="E102" s="167"/>
    </row>
    <row r="103" spans="4:14">
      <c r="D103" s="156"/>
    </row>
    <row r="104" spans="4:14">
      <c r="D104" s="156"/>
      <c r="E104" s="156"/>
    </row>
    <row r="105" spans="4:14">
      <c r="D105" s="156"/>
      <c r="E105" s="156"/>
    </row>
    <row r="106" spans="4:14">
      <c r="D106" s="156"/>
      <c r="E106" s="167"/>
    </row>
    <row r="107" spans="4:14">
      <c r="D107" s="156"/>
      <c r="E107" s="167"/>
    </row>
    <row r="108" spans="4:14">
      <c r="D108" s="156"/>
      <c r="F108" s="164"/>
    </row>
    <row r="109" spans="4:14">
      <c r="D109" s="156"/>
      <c r="E109" s="167"/>
      <c r="F109" s="164"/>
    </row>
    <row r="111" spans="4:14">
      <c r="D111" s="156"/>
    </row>
    <row r="112" spans="4:14">
      <c r="D112" s="156"/>
      <c r="E112" s="167"/>
    </row>
    <row r="113" spans="1:5">
      <c r="D113" s="156"/>
      <c r="E113" s="167"/>
    </row>
    <row r="114" spans="1:5">
      <c r="D114" s="170"/>
      <c r="E114" s="167"/>
    </row>
    <row r="115" spans="1:5">
      <c r="D115" s="156"/>
    </row>
    <row r="116" spans="1:5">
      <c r="D116" s="156"/>
      <c r="E116" s="167"/>
    </row>
    <row r="117" spans="1:5">
      <c r="D117" s="170"/>
      <c r="E117" s="167"/>
    </row>
    <row r="118" spans="1:5">
      <c r="D118" s="156"/>
      <c r="E118" s="167"/>
    </row>
    <row r="119" spans="1:5">
      <c r="D119" s="156"/>
      <c r="E119" s="167"/>
    </row>
    <row r="120" spans="1:5">
      <c r="E120" s="167"/>
    </row>
    <row r="121" spans="1:5">
      <c r="D121" s="156"/>
      <c r="E121" s="167"/>
    </row>
    <row r="122" spans="1:5">
      <c r="D122" s="156"/>
    </row>
    <row r="123" spans="1:5">
      <c r="A123" s="7"/>
    </row>
    <row r="124" spans="1:5">
      <c r="A124" s="7"/>
    </row>
    <row r="125" spans="1:5">
      <c r="A125" s="7"/>
    </row>
    <row r="126" spans="1:5">
      <c r="A126" s="7"/>
    </row>
    <row r="127" spans="1:5">
      <c r="A127" s="7"/>
    </row>
    <row r="128" spans="1:5">
      <c r="A128" s="7"/>
    </row>
    <row r="129" spans="1:4">
      <c r="A129" s="7"/>
    </row>
    <row r="130" spans="1:4">
      <c r="A130" s="7"/>
      <c r="D130" s="105"/>
    </row>
    <row r="131" spans="1:4">
      <c r="B131" s="7"/>
      <c r="C131" s="153"/>
      <c r="D131" s="105"/>
    </row>
    <row r="132" spans="1:4">
      <c r="B132" s="7"/>
      <c r="C132" s="153"/>
      <c r="D132" s="105"/>
    </row>
  </sheetData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0552-1BD4-4C38-8C3A-6B8546C8784A}">
  <dimension ref="A1:L9"/>
  <sheetViews>
    <sheetView zoomScaleNormal="100" workbookViewId="0">
      <selection activeCell="K24" sqref="K24"/>
    </sheetView>
  </sheetViews>
  <sheetFormatPr baseColWidth="10" defaultColWidth="11.44140625" defaultRowHeight="14.4"/>
  <cols>
    <col min="1" max="1" width="17" style="6" bestFit="1" customWidth="1"/>
    <col min="2" max="16384" width="11.44140625" style="6"/>
  </cols>
  <sheetData>
    <row r="1" spans="1:12">
      <c r="A1" s="7" t="s">
        <v>590</v>
      </c>
      <c r="B1" s="7" t="s">
        <v>591</v>
      </c>
      <c r="C1" s="7"/>
    </row>
    <row r="3" spans="1:12">
      <c r="B3" s="98"/>
      <c r="C3" s="98"/>
      <c r="D3" s="98"/>
      <c r="E3" s="98"/>
    </row>
    <row r="5" spans="1:12">
      <c r="B5" s="6" t="s">
        <v>40</v>
      </c>
      <c r="C5" s="6" t="s">
        <v>41</v>
      </c>
      <c r="D5" s="6" t="s">
        <v>44</v>
      </c>
      <c r="E5" s="6" t="s">
        <v>47</v>
      </c>
    </row>
    <row r="6" spans="1:12">
      <c r="A6" s="6" t="s">
        <v>592</v>
      </c>
      <c r="B6" s="98">
        <v>69.005333333333326</v>
      </c>
      <c r="C6" s="98">
        <v>66.83025976601229</v>
      </c>
      <c r="D6" s="98">
        <v>49.810044236273747</v>
      </c>
      <c r="E6" s="98">
        <v>56.293402850909793</v>
      </c>
      <c r="K6" s="172"/>
    </row>
    <row r="7" spans="1:12">
      <c r="A7" s="6" t="s">
        <v>593</v>
      </c>
      <c r="B7" s="98">
        <v>69.672566371681427</v>
      </c>
      <c r="C7" s="98">
        <v>55.408673894912432</v>
      </c>
      <c r="D7" s="98">
        <v>51.023066485753056</v>
      </c>
      <c r="E7" s="98">
        <v>48.692513170372187</v>
      </c>
    </row>
    <row r="8" spans="1:12">
      <c r="A8" s="6" t="s">
        <v>594</v>
      </c>
      <c r="B8" s="98">
        <v>85.086792452830181</v>
      </c>
      <c r="C8" s="98">
        <v>82.896724598930476</v>
      </c>
      <c r="D8" s="98">
        <v>65.551900584795334</v>
      </c>
      <c r="E8" s="98">
        <v>69.679198443052925</v>
      </c>
      <c r="H8" s="172"/>
      <c r="I8" s="172"/>
    </row>
    <row r="9" spans="1:12">
      <c r="A9" s="6" t="s">
        <v>595</v>
      </c>
      <c r="B9" s="98">
        <v>78.409523809523805</v>
      </c>
      <c r="C9" s="98">
        <v>71.310341128513201</v>
      </c>
      <c r="D9" s="98">
        <v>64.157534246575338</v>
      </c>
      <c r="E9" s="98">
        <v>49.468686574413809</v>
      </c>
      <c r="H9" s="172"/>
      <c r="I9" s="172"/>
      <c r="J9" s="172"/>
      <c r="K9" s="172"/>
      <c r="L9" s="17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0E75D-2CCA-42E1-89A0-2900AA18DD65}">
  <dimension ref="A1:D9"/>
  <sheetViews>
    <sheetView workbookViewId="0">
      <selection activeCell="H24" sqref="H24"/>
    </sheetView>
  </sheetViews>
  <sheetFormatPr baseColWidth="10" defaultColWidth="11.44140625" defaultRowHeight="14.4"/>
  <cols>
    <col min="1" max="1" width="11.44140625" style="6"/>
    <col min="2" max="2" width="18.5546875" style="6" customWidth="1"/>
    <col min="3" max="16384" width="11.44140625" style="6"/>
  </cols>
  <sheetData>
    <row r="1" spans="1:4" ht="18.75" customHeight="1">
      <c r="A1" s="7" t="s">
        <v>531</v>
      </c>
      <c r="B1" s="7" t="s">
        <v>532</v>
      </c>
    </row>
    <row r="4" spans="1:4">
      <c r="B4" s="6" t="s">
        <v>596</v>
      </c>
      <c r="C4" s="6" t="s">
        <v>597</v>
      </c>
      <c r="D4" s="6" t="s">
        <v>598</v>
      </c>
    </row>
    <row r="5" spans="1:4">
      <c r="A5" s="6" t="s">
        <v>599</v>
      </c>
      <c r="B5" s="6">
        <v>56</v>
      </c>
      <c r="C5" s="6">
        <v>36</v>
      </c>
      <c r="D5" s="6">
        <v>8</v>
      </c>
    </row>
    <row r="6" spans="1:4">
      <c r="A6" s="6" t="s">
        <v>600</v>
      </c>
      <c r="B6" s="6">
        <v>77</v>
      </c>
      <c r="C6" s="6">
        <v>21</v>
      </c>
      <c r="D6" s="6">
        <v>3</v>
      </c>
    </row>
    <row r="7" spans="1:4">
      <c r="A7" s="6" t="s">
        <v>601</v>
      </c>
      <c r="B7" s="6">
        <v>57</v>
      </c>
      <c r="C7" s="6">
        <v>38</v>
      </c>
      <c r="D7" s="6">
        <v>5</v>
      </c>
    </row>
    <row r="8" spans="1:4">
      <c r="A8" s="6" t="s">
        <v>602</v>
      </c>
      <c r="B8" s="6">
        <v>53</v>
      </c>
      <c r="C8" s="6">
        <v>37</v>
      </c>
      <c r="D8" s="6">
        <v>10</v>
      </c>
    </row>
    <row r="9" spans="1:4">
      <c r="A9" s="6" t="s">
        <v>603</v>
      </c>
      <c r="B9" s="6">
        <v>51</v>
      </c>
      <c r="C9" s="6">
        <v>40</v>
      </c>
      <c r="D9" s="6">
        <v>9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A7CE-7B43-4EF7-A036-593118BC8776}">
  <dimension ref="A1:M28"/>
  <sheetViews>
    <sheetView zoomScaleNormal="100" workbookViewId="0">
      <selection activeCell="F26" sqref="F26"/>
    </sheetView>
  </sheetViews>
  <sheetFormatPr baseColWidth="10" defaultColWidth="11.44140625" defaultRowHeight="14.4"/>
  <cols>
    <col min="1" max="1" width="25.5546875" style="6" customWidth="1"/>
    <col min="2" max="2" width="19.109375" style="6" customWidth="1"/>
    <col min="3" max="3" width="11.44140625" style="6"/>
    <col min="4" max="4" width="26.33203125" style="6" customWidth="1"/>
    <col min="5" max="5" width="11.44140625" style="6"/>
    <col min="6" max="6" width="47.44140625" style="6" customWidth="1"/>
    <col min="7" max="16384" width="11.44140625" style="6"/>
  </cols>
  <sheetData>
    <row r="1" spans="1:3">
      <c r="A1" s="7" t="s">
        <v>533</v>
      </c>
      <c r="B1" s="7" t="s">
        <v>604</v>
      </c>
    </row>
    <row r="2" spans="1:3">
      <c r="A2" s="51"/>
    </row>
    <row r="3" spans="1:3">
      <c r="B3" s="6" t="s">
        <v>785</v>
      </c>
      <c r="C3" s="6" t="s">
        <v>784</v>
      </c>
    </row>
    <row r="4" spans="1:3">
      <c r="A4" s="6" t="s">
        <v>346</v>
      </c>
      <c r="B4" s="21">
        <v>1.65</v>
      </c>
      <c r="C4" s="6">
        <v>3</v>
      </c>
    </row>
    <row r="5" spans="1:3">
      <c r="A5" s="6" t="s">
        <v>605</v>
      </c>
      <c r="B5" s="21">
        <v>1.47</v>
      </c>
      <c r="C5" s="6">
        <v>10</v>
      </c>
    </row>
    <row r="6" spans="1:3">
      <c r="A6" s="6" t="s">
        <v>382</v>
      </c>
      <c r="B6" s="21">
        <v>1.93</v>
      </c>
      <c r="C6" s="6">
        <v>12</v>
      </c>
    </row>
    <row r="7" spans="1:3">
      <c r="A7" s="6" t="s">
        <v>361</v>
      </c>
      <c r="B7" s="21">
        <v>1.7</v>
      </c>
      <c r="C7" s="6">
        <v>11</v>
      </c>
    </row>
    <row r="8" spans="1:3">
      <c r="A8" s="6" t="s">
        <v>394</v>
      </c>
      <c r="B8" s="21">
        <v>1.81</v>
      </c>
      <c r="C8" s="6">
        <v>13</v>
      </c>
    </row>
    <row r="9" spans="1:3">
      <c r="A9" s="6" t="s">
        <v>43</v>
      </c>
      <c r="B9" s="21">
        <v>1.86</v>
      </c>
      <c r="C9" s="6">
        <v>24</v>
      </c>
    </row>
    <row r="10" spans="1:3">
      <c r="A10" s="6" t="s">
        <v>52</v>
      </c>
      <c r="B10" s="21">
        <v>1.75</v>
      </c>
      <c r="C10" s="6">
        <v>30</v>
      </c>
    </row>
    <row r="11" spans="1:3">
      <c r="A11" s="6" t="s">
        <v>48</v>
      </c>
      <c r="B11" s="21">
        <v>1.65</v>
      </c>
      <c r="C11" s="6">
        <v>19</v>
      </c>
    </row>
    <row r="12" spans="1:3">
      <c r="A12" s="6" t="s">
        <v>606</v>
      </c>
      <c r="B12" s="21">
        <v>1.5</v>
      </c>
      <c r="C12" s="6">
        <v>15</v>
      </c>
    </row>
    <row r="13" spans="1:3">
      <c r="A13" s="6" t="s">
        <v>41</v>
      </c>
      <c r="B13" s="21">
        <v>1.52</v>
      </c>
      <c r="C13" s="6">
        <v>45</v>
      </c>
    </row>
    <row r="14" spans="1:3">
      <c r="A14" s="6" t="s">
        <v>607</v>
      </c>
      <c r="B14" s="21">
        <v>1.38</v>
      </c>
      <c r="C14" s="6">
        <v>55</v>
      </c>
    </row>
    <row r="15" spans="1:3">
      <c r="A15" s="6" t="s">
        <v>381</v>
      </c>
      <c r="B15" s="21">
        <v>1.4</v>
      </c>
      <c r="C15" s="6">
        <v>60</v>
      </c>
    </row>
    <row r="16" spans="1:3">
      <c r="A16" s="6" t="s">
        <v>608</v>
      </c>
      <c r="B16" s="21">
        <v>1.45</v>
      </c>
      <c r="C16" s="6">
        <v>70</v>
      </c>
    </row>
    <row r="17" spans="1:13">
      <c r="A17" s="6" t="s">
        <v>47</v>
      </c>
      <c r="B17" s="21">
        <v>1.55</v>
      </c>
      <c r="C17" s="6">
        <v>76</v>
      </c>
    </row>
    <row r="25" spans="1:13">
      <c r="M25" s="7"/>
    </row>
    <row r="28" spans="1:13">
      <c r="B28" s="105"/>
    </row>
  </sheetData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CF11-2B98-42A2-AB84-137450040BCF}">
  <dimension ref="A1:B14"/>
  <sheetViews>
    <sheetView topLeftCell="A6" zoomScale="120" zoomScaleNormal="120" workbookViewId="0">
      <selection activeCell="D36" sqref="D36"/>
    </sheetView>
  </sheetViews>
  <sheetFormatPr baseColWidth="10" defaultColWidth="11.44140625" defaultRowHeight="14.4"/>
  <cols>
    <col min="1" max="16384" width="11.44140625" style="6"/>
  </cols>
  <sheetData>
    <row r="1" spans="1:2">
      <c r="A1" s="7" t="s">
        <v>534</v>
      </c>
      <c r="B1" s="7" t="s">
        <v>535</v>
      </c>
    </row>
    <row r="4" spans="1:2">
      <c r="A4" s="6" t="s">
        <v>609</v>
      </c>
    </row>
    <row r="5" spans="1:2">
      <c r="A5" s="6">
        <v>1</v>
      </c>
      <c r="B5" s="6">
        <v>28</v>
      </c>
    </row>
    <row r="6" spans="1:2">
      <c r="A6" s="6">
        <v>2</v>
      </c>
      <c r="B6" s="6">
        <v>45</v>
      </c>
    </row>
    <row r="7" spans="1:2">
      <c r="A7" s="6">
        <v>3</v>
      </c>
      <c r="B7" s="6">
        <v>54</v>
      </c>
    </row>
    <row r="8" spans="1:2">
      <c r="A8" s="6">
        <v>4</v>
      </c>
      <c r="B8" s="6">
        <v>56</v>
      </c>
    </row>
    <row r="9" spans="1:2">
      <c r="A9" s="6">
        <v>5</v>
      </c>
      <c r="B9" s="6">
        <v>62</v>
      </c>
    </row>
    <row r="10" spans="1:2">
      <c r="A10" s="6">
        <v>6</v>
      </c>
      <c r="B10" s="6">
        <v>64</v>
      </c>
    </row>
    <row r="11" spans="1:2">
      <c r="A11" s="6">
        <v>7</v>
      </c>
      <c r="B11" s="6">
        <v>68</v>
      </c>
    </row>
    <row r="12" spans="1:2">
      <c r="A12" s="6">
        <v>8</v>
      </c>
      <c r="B12" s="6">
        <v>63</v>
      </c>
    </row>
    <row r="13" spans="1:2">
      <c r="A13" s="6">
        <v>9</v>
      </c>
      <c r="B13" s="6">
        <v>58</v>
      </c>
    </row>
    <row r="14" spans="1:2">
      <c r="A14" s="6">
        <v>10</v>
      </c>
      <c r="B14" s="6">
        <v>50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7597-18AC-4914-A232-A12B1A7F0361}">
  <dimension ref="A1:E10"/>
  <sheetViews>
    <sheetView workbookViewId="0">
      <selection activeCell="A13" sqref="A13"/>
    </sheetView>
  </sheetViews>
  <sheetFormatPr baseColWidth="10" defaultColWidth="11.44140625" defaultRowHeight="14.4"/>
  <cols>
    <col min="1" max="1" width="68.33203125" style="6" bestFit="1" customWidth="1"/>
    <col min="2" max="5" width="14" style="6" customWidth="1"/>
    <col min="6" max="16384" width="11.44140625" style="6"/>
  </cols>
  <sheetData>
    <row r="1" spans="1:5">
      <c r="A1" s="7" t="s">
        <v>536</v>
      </c>
      <c r="B1" s="7" t="s">
        <v>537</v>
      </c>
    </row>
    <row r="4" spans="1:5">
      <c r="B4" s="6" t="s">
        <v>610</v>
      </c>
      <c r="C4" s="6" t="s">
        <v>611</v>
      </c>
      <c r="D4" s="6" t="s">
        <v>612</v>
      </c>
      <c r="E4" s="6" t="s">
        <v>613</v>
      </c>
    </row>
    <row r="5" spans="1:5">
      <c r="A5" s="6" t="s">
        <v>614</v>
      </c>
      <c r="B5" s="6">
        <f>26+25</f>
        <v>51</v>
      </c>
      <c r="C5" s="6">
        <v>18</v>
      </c>
      <c r="D5" s="6">
        <f>30</f>
        <v>30</v>
      </c>
      <c r="E5" s="6">
        <v>1</v>
      </c>
    </row>
    <row r="6" spans="1:5">
      <c r="A6" s="6" t="s">
        <v>615</v>
      </c>
      <c r="B6" s="6">
        <f>30+29</f>
        <v>59</v>
      </c>
      <c r="C6" s="6">
        <v>19</v>
      </c>
      <c r="D6" s="6">
        <f>9+13</f>
        <v>22</v>
      </c>
    </row>
    <row r="7" spans="1:5">
      <c r="A7" s="6" t="s">
        <v>616</v>
      </c>
      <c r="B7" s="6">
        <f>30+33</f>
        <v>63</v>
      </c>
      <c r="C7" s="6">
        <v>17</v>
      </c>
      <c r="D7" s="6">
        <f>20</f>
        <v>20</v>
      </c>
    </row>
    <row r="8" spans="1:5">
      <c r="A8" s="6" t="s">
        <v>617</v>
      </c>
      <c r="B8" s="6">
        <f>56+25</f>
        <v>81</v>
      </c>
      <c r="C8" s="6">
        <f>10</f>
        <v>10</v>
      </c>
      <c r="D8" s="6">
        <f>9</f>
        <v>9</v>
      </c>
    </row>
    <row r="9" spans="1:5">
      <c r="A9" s="6" t="s">
        <v>618</v>
      </c>
      <c r="B9" s="6">
        <f>52+29</f>
        <v>81</v>
      </c>
      <c r="C9" s="6">
        <v>11</v>
      </c>
      <c r="D9" s="6">
        <v>8</v>
      </c>
    </row>
    <row r="10" spans="1:5">
      <c r="A10" s="6" t="s">
        <v>619</v>
      </c>
      <c r="B10" s="6">
        <f>66+22</f>
        <v>88</v>
      </c>
      <c r="C10" s="6">
        <v>5</v>
      </c>
      <c r="D10" s="6">
        <f>7</f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SnoArkivpliktig xmlns="4605da1e-7c13-4cde-8939-9ecbdf626b28">?</SnoArkivpliktig>
    <SnoDokumenttype xmlns="4605da1e-7c13-4cde-8939-9ecbdf626b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52E4F790C93B4E1F8065A5CDA984CB6E002F4132798227E6449DF0B84B58B02FAE" ma:contentTypeVersion="6" ma:contentTypeDescription="Opprett et nytt dokument." ma:contentTypeScope="" ma:versionID="007544445151e470b2da09fa7306ebb8">
  <xsd:schema xmlns:xsd="http://www.w3.org/2001/XMLSchema" xmlns:xs="http://www.w3.org/2001/XMLSchema" xmlns:p="http://schemas.microsoft.com/office/2006/metadata/properties" xmlns:ns1="http://schemas.microsoft.com/sharepoint/v3" xmlns:ns2="4605da1e-7c13-4cde-8939-9ecbdf626b28" targetNamespace="http://schemas.microsoft.com/office/2006/metadata/properties" ma:root="true" ma:fieldsID="b23c30a4ed0befe03aa73c151b309973" ns1:_="" ns2:_="">
    <xsd:import namespace="http://schemas.microsoft.com/sharepoint/v3"/>
    <xsd:import namespace="4605da1e-7c13-4cde-8939-9ecbdf626b28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5da1e-7c13-4cde-8939-9ecbdf626b28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F42173-8107-4E6B-9D62-0A5F1AA8E626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0d0fe70b-1630-48e0-958c-071d44f5f607"/>
    <ds:schemaRef ds:uri="http://purl.org/dc/terms/"/>
    <ds:schemaRef ds:uri="61c7fcd2-6c33-4a37-a04b-a421ca6b4eca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4605da1e-7c13-4cde-8939-9ecbdf626b28"/>
  </ds:schemaRefs>
</ds:datastoreItem>
</file>

<file path=customXml/itemProps2.xml><?xml version="1.0" encoding="utf-8"?>
<ds:datastoreItem xmlns:ds="http://schemas.openxmlformats.org/officeDocument/2006/customXml" ds:itemID="{EF4CE47E-716A-4552-BAD4-30A43C2B3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05da1e-7c13-4cde-8939-9ecbdf626b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46AC19-5E90-4DC0-8C33-34F5068F71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112</vt:i4>
      </vt:variant>
      <vt:variant>
        <vt:lpstr>Navngitte områder</vt:lpstr>
      </vt:variant>
      <vt:variant>
        <vt:i4>7</vt:i4>
      </vt:variant>
    </vt:vector>
  </HeadingPairs>
  <TitlesOfParts>
    <vt:vector size="119" baseType="lpstr">
      <vt:lpstr>Innhold</vt:lpstr>
      <vt:lpstr>1.1</vt:lpstr>
      <vt:lpstr>1.2</vt:lpstr>
      <vt:lpstr>1.3</vt:lpstr>
      <vt:lpstr>1.4</vt:lpstr>
      <vt:lpstr>1.5</vt:lpstr>
      <vt:lpstr>1.6</vt:lpstr>
      <vt:lpstr> 3.1</vt:lpstr>
      <vt:lpstr>3.2</vt:lpstr>
      <vt:lpstr>3.3</vt:lpstr>
      <vt:lpstr>3.4</vt:lpstr>
      <vt:lpstr>3.5</vt:lpstr>
      <vt:lpstr>3.6</vt:lpstr>
      <vt:lpstr> 3.7</vt:lpstr>
      <vt:lpstr> 4.1</vt:lpstr>
      <vt:lpstr> 4.2</vt:lpstr>
      <vt:lpstr>4.3</vt:lpstr>
      <vt:lpstr>4.4</vt:lpstr>
      <vt:lpstr> 4.5 </vt:lpstr>
      <vt:lpstr> 4.6</vt:lpstr>
      <vt:lpstr>4.7</vt:lpstr>
      <vt:lpstr> 4.8 </vt:lpstr>
      <vt:lpstr>4.9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 6.1</vt:lpstr>
      <vt:lpstr> 6.2 </vt:lpstr>
      <vt:lpstr> 6.3</vt:lpstr>
      <vt:lpstr> 6.4</vt:lpstr>
      <vt:lpstr> 6.5</vt:lpstr>
      <vt:lpstr> 6.6</vt:lpstr>
      <vt:lpstr> 6.7</vt:lpstr>
      <vt:lpstr> 6.8</vt:lpstr>
      <vt:lpstr> 6.9</vt:lpstr>
      <vt:lpstr> 6.10</vt:lpstr>
      <vt:lpstr> 6.11</vt:lpstr>
      <vt:lpstr> 6.12</vt:lpstr>
      <vt:lpstr> 6.13</vt:lpstr>
      <vt:lpstr> 6.14</vt:lpstr>
      <vt:lpstr> 6.15</vt:lpstr>
      <vt:lpstr> 6.16</vt:lpstr>
      <vt:lpstr> 6.17</vt:lpstr>
      <vt:lpstr> 6.19</vt:lpstr>
      <vt:lpstr> 6.20</vt:lpstr>
      <vt:lpstr> 6.21</vt:lpstr>
      <vt:lpstr> 6.22</vt:lpstr>
      <vt:lpstr> 6.23</vt:lpstr>
      <vt:lpstr> 6.24</vt:lpstr>
      <vt:lpstr> 6.25</vt:lpstr>
      <vt:lpstr> 6.26</vt:lpstr>
      <vt:lpstr> 7.1 </vt:lpstr>
      <vt:lpstr> 7.2</vt:lpstr>
      <vt:lpstr> 7.3 </vt:lpstr>
      <vt:lpstr> 7.4 </vt:lpstr>
      <vt:lpstr>7.5 </vt:lpstr>
      <vt:lpstr> 7.6 </vt:lpstr>
      <vt:lpstr> 7.7 </vt:lpstr>
      <vt:lpstr> 7.8</vt:lpstr>
      <vt:lpstr> 7.9 </vt:lpstr>
      <vt:lpstr> 7.10 </vt:lpstr>
      <vt:lpstr> 7.11 </vt:lpstr>
      <vt:lpstr> 7.12</vt:lpstr>
      <vt:lpstr> 7.13 </vt:lpstr>
      <vt:lpstr> 7.14 </vt:lpstr>
      <vt:lpstr> 7.15 </vt:lpstr>
      <vt:lpstr> 7.16 </vt:lpstr>
      <vt:lpstr> 7.17 </vt:lpstr>
      <vt:lpstr>8.1</vt:lpstr>
      <vt:lpstr>8.2</vt:lpstr>
      <vt:lpstr>8.3</vt:lpstr>
      <vt:lpstr>8.4 </vt:lpstr>
      <vt:lpstr> 9.3</vt:lpstr>
      <vt:lpstr>9.4</vt:lpstr>
      <vt:lpstr> 10.1</vt:lpstr>
      <vt:lpstr> 10.2</vt:lpstr>
      <vt:lpstr>  10.3</vt:lpstr>
      <vt:lpstr>10.4</vt:lpstr>
      <vt:lpstr>10.5 </vt:lpstr>
      <vt:lpstr> 10.6</vt:lpstr>
      <vt:lpstr> 10.7</vt:lpstr>
      <vt:lpstr> 10.8</vt:lpstr>
      <vt:lpstr> 10.9</vt:lpstr>
      <vt:lpstr>10.10</vt:lpstr>
      <vt:lpstr> 10.11</vt:lpstr>
      <vt:lpstr>10.12</vt:lpstr>
      <vt:lpstr>10.14</vt:lpstr>
      <vt:lpstr>10.15</vt:lpstr>
      <vt:lpstr>10.16</vt:lpstr>
      <vt:lpstr>10.17</vt:lpstr>
      <vt:lpstr> 11.1 </vt:lpstr>
      <vt:lpstr>11.2</vt:lpstr>
      <vt:lpstr>11.3</vt:lpstr>
      <vt:lpstr>11.4</vt:lpstr>
      <vt:lpstr>' 6.23'!_Hlk156214435</vt:lpstr>
      <vt:lpstr>'8.3'!_Toc153460317</vt:lpstr>
      <vt:lpstr>' 4.1'!footnotes</vt:lpstr>
      <vt:lpstr>' 4.1'!Notes</vt:lpstr>
      <vt:lpstr>' 4.1'!Source</vt:lpstr>
      <vt:lpstr>' 4.1'!title</vt:lpstr>
      <vt:lpstr>' 4.1'!Title_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Winje Amanda Myhre</dc:creator>
  <cp:lastModifiedBy>Susann Vatnedal</cp:lastModifiedBy>
  <dcterms:created xsi:type="dcterms:W3CDTF">2024-04-18T13:42:52Z</dcterms:created>
  <dcterms:modified xsi:type="dcterms:W3CDTF">2024-06-17T06:12:41Z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df25c2-6206-49c4-94af-432acb840807_Enabled">
    <vt:lpwstr>true</vt:lpwstr>
  </property>
  <property fmtid="{D5CDD505-2E9C-101B-9397-08002B2CF9AE}" pid="3" name="MSIP_Label_9fdf25c2-6206-49c4-94af-432acb840807_SetDate">
    <vt:lpwstr>2024-04-18T14:31:36Z</vt:lpwstr>
  </property>
  <property fmtid="{D5CDD505-2E9C-101B-9397-08002B2CF9AE}" pid="4" name="MSIP_Label_9fdf25c2-6206-49c4-94af-432acb840807_Method">
    <vt:lpwstr>Standard</vt:lpwstr>
  </property>
  <property fmtid="{D5CDD505-2E9C-101B-9397-08002B2CF9AE}" pid="5" name="MSIP_Label_9fdf25c2-6206-49c4-94af-432acb840807_Name">
    <vt:lpwstr>Intern (AID)</vt:lpwstr>
  </property>
  <property fmtid="{D5CDD505-2E9C-101B-9397-08002B2CF9AE}" pid="6" name="MSIP_Label_9fdf25c2-6206-49c4-94af-432acb840807_SiteId">
    <vt:lpwstr>f696e186-1c3b-44cd-bf76-5ace0e7007bd</vt:lpwstr>
  </property>
  <property fmtid="{D5CDD505-2E9C-101B-9397-08002B2CF9AE}" pid="7" name="MSIP_Label_9fdf25c2-6206-49c4-94af-432acb840807_ActionId">
    <vt:lpwstr>2836f667-4bbf-437c-a371-8d417c905064</vt:lpwstr>
  </property>
  <property fmtid="{D5CDD505-2E9C-101B-9397-08002B2CF9AE}" pid="8" name="MSIP_Label_9fdf25c2-6206-49c4-94af-432acb840807_ContentBits">
    <vt:lpwstr>0</vt:lpwstr>
  </property>
  <property fmtid="{D5CDD505-2E9C-101B-9397-08002B2CF9AE}" pid="9" name="ContentTypeId">
    <vt:lpwstr>0x01010052E4F790C93B4E1F8065A5CDA984CB6E002F4132798227E6449DF0B84B58B02FAE</vt:lpwstr>
  </property>
  <property fmtid="{D5CDD505-2E9C-101B-9397-08002B2CF9AE}" pid="10" name="MediaServiceImageTags">
    <vt:lpwstr/>
  </property>
</Properties>
</file>