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9690" windowHeight="65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<sst xmlns="http://schemas.openxmlformats.org/spreadsheetml/2006/main" count="84" uniqueCount="74">
  <si>
    <t>Regnskap</t>
  </si>
  <si>
    <t xml:space="preserve">Anslag </t>
  </si>
  <si>
    <t>1. Skatteinntekter</t>
  </si>
  <si>
    <t>1.1 Skatt på inntekt og formue</t>
  </si>
  <si>
    <t>1.2 Eiendomsskatt, andre prod.skatter</t>
  </si>
  <si>
    <t xml:space="preserve">2. Overføringer fra staten </t>
  </si>
  <si>
    <t>2.1 Rammeoverføringer</t>
  </si>
  <si>
    <t>2.2 Øremerkede overføringer innenf. k.opplegget</t>
  </si>
  <si>
    <t>1)</t>
  </si>
  <si>
    <t>2.3 Øremerkede overføringer utenfor k.opplegget</t>
  </si>
  <si>
    <t>3.  Gebyrer</t>
  </si>
  <si>
    <t>2)</t>
  </si>
  <si>
    <t>4.</t>
  </si>
  <si>
    <t>Renteinntekter</t>
  </si>
  <si>
    <t>5.  Tilskudd til folketrygden</t>
  </si>
  <si>
    <t>6.  Andre innenl. løpende overf.</t>
  </si>
  <si>
    <t>7.  Sum innt. fratr. tilsk. til folketr. (1+2+3+4+5+6)</t>
  </si>
  <si>
    <t>8.  Sum innt. fratr. tilsk. til folketr. og tilsk.</t>
  </si>
  <si>
    <t>3)</t>
  </si>
  <si>
    <t>9.</t>
  </si>
  <si>
    <t>Kommuneopplegget, faste priser</t>
  </si>
  <si>
    <t>10. Kroner pr innbygger, faste priser</t>
  </si>
  <si>
    <t>1) For en nærmere definisjon av tilskuddene se vedlegg 3 om øremerkede tilskudd</t>
  </si>
  <si>
    <t>2) Gebyrene er eksklusive bygg og anleggsgebyrer</t>
  </si>
  <si>
    <t xml:space="preserve">3) Tilskuddene u. 2.3 tilskudd til arbeidsmarkedstiltak, flyktninger, flom/hjemfall, momskompensasjon, kirkelov m.v. fastlegges ut fra andre vurderinger enn hensynet  til </t>
  </si>
  <si>
    <t xml:space="preserve">     kommunesektorens økonomi. De holdes derfor utenfor når veksten i kommunesektorens inntekter beregnes.   </t>
  </si>
  <si>
    <t xml:space="preserve"> </t>
  </si>
  <si>
    <t>II. Frie inntekter (1+2.1+5)</t>
  </si>
  <si>
    <t>III. Skatteandel i pst. av frie inntekter</t>
  </si>
  <si>
    <t>IV.  Øremerkede overføringer i pst. av I.</t>
  </si>
  <si>
    <t>Frie inntekter i pst av I.</t>
  </si>
  <si>
    <t>1) Tilskudd til folketrygden er fratrukket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</si>
  <si>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</si>
  <si>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</si>
  <si>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</si>
  <si>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</si>
  <si>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</si>
  <si>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</si>
  <si>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</si>
  <si>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</si>
  <si>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 xml:space="preserve">96/97 </t>
  </si>
  <si>
    <t xml:space="preserve">97/98 </t>
  </si>
  <si>
    <t>1.2 Eiendomsskatt andre prod.skatter</t>
  </si>
  <si>
    <t>2.2 Øremerkede overføringer innenfor kommuneoppl.</t>
  </si>
  <si>
    <t>2.3 Øremerkede overf. utenf. kommuneopplegget</t>
  </si>
  <si>
    <t xml:space="preserve">3. Gebyrer </t>
  </si>
  <si>
    <t>4. Renteinntekter</t>
  </si>
  <si>
    <t>5. Tilskudd til folketrygden</t>
  </si>
  <si>
    <t>6. Andre innnenl. løpende overf.</t>
  </si>
  <si>
    <t>7. Sum inntekter (1+2+3+4+5+6)</t>
  </si>
  <si>
    <t>8. Sum inntekter kommuneopplegget</t>
  </si>
  <si>
    <t xml:space="preserve">10. Kroner pr. innbygger </t>
  </si>
  <si>
    <t>98/99</t>
  </si>
  <si>
    <t>Sum inntekter kommuneopplegget (7-2.3-4))</t>
  </si>
  <si>
    <t>99/00</t>
  </si>
  <si>
    <t>Vedlegg 4</t>
  </si>
  <si>
    <t>Tabell 4.2. Utviklingen i kommunesektorens frie inntekter</t>
  </si>
  <si>
    <t>Tabell 4.1. Kommuneforvaltningens inntekter. I hht. nasjonalregnskapets definisjoner</t>
  </si>
  <si>
    <t>2) Frie inntekter inkl. her eiendomsskatt, andre prod.skatter</t>
  </si>
  <si>
    <t>Kommuneforvaltningens samlede inntekter 1988-2002</t>
  </si>
  <si>
    <t>Alle tall er i millioner kroner i løpende priser, unntatt rad 9 og 10 som viser kommuneopplegget i faste 2002-priser.</t>
  </si>
  <si>
    <t xml:space="preserve">1) Gjennomsnittlig årlig vekst 1988-2002 </t>
  </si>
  <si>
    <t>Tabell 4.3.  Endringer i kommunesektorens inntekter i prosent fra året før, og gjennomsnittlig årlig vekst 1988-2002</t>
  </si>
  <si>
    <r>
      <t xml:space="preserve">88/02 </t>
    </r>
    <r>
      <rPr>
        <b/>
        <vertAlign val="superscript"/>
        <sz val="10"/>
        <rFont val="Arial Narrow"/>
        <family val="2"/>
      </rPr>
      <t>1)</t>
    </r>
  </si>
  <si>
    <t>00/01</t>
  </si>
  <si>
    <t xml:space="preserve"> 01/02  </t>
  </si>
  <si>
    <t xml:space="preserve">I.  </t>
  </si>
  <si>
    <t>Sum inntekter kommuneopplegget (8)</t>
  </si>
  <si>
    <t xml:space="preserve">IIII. </t>
  </si>
  <si>
    <t>Rammetilskudd i pst. av frie inntekter</t>
  </si>
  <si>
    <t xml:space="preserve">9. </t>
  </si>
  <si>
    <t xml:space="preserve">Sum inntekter kommuneopplegget, faste priser </t>
  </si>
  <si>
    <r>
      <t xml:space="preserve">2001 </t>
    </r>
    <r>
      <rPr>
        <b/>
        <sz val="8"/>
        <rFont val="Times New Roman"/>
        <family val="1"/>
      </rPr>
      <t>4)</t>
    </r>
  </si>
  <si>
    <t>4) Sum inntekter innenfor kommuneopplegget inkluderer 1,25 mrd kr som er en engangsinntekt i 2001 (kompensasjon for økte utgifter til barne- og etterlattepensjon i Revidert Nasjonalbudsjett).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</si>
</sst>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\ \ ##0"/>
    <numFmt numFmtId="173" formatCode="0.0%"/>
    <numFmt numFmtId="174" formatCode="_ * #,##0.000_ ;_ * \-#,##0.000_ ;_ * &quot;-&quot;??_ ;_ @_ "/>
    <numFmt numFmtId="175" formatCode="_ * #,##0.0_ ;_ * \-#,##0.0_ ;_ * &quot;-&quot;??_ ;_ @_ "/>
    <numFmt numFmtId="176" formatCode="_ * #,##0_ ;_ * \-#,##0_ ;_ * &quot;-&quot;??_ ;_ @_ "/>
  </numFmts>
  <fonts count="3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Garamond"/>
      <family val="1"/>
    </font>
    <font>
      <b/>
      <sz val="12"/>
      <name val="Times New Roman"/>
      <family val="1"/>
    </font>
    <font>
      <sz val="6"/>
      <name val="Arial"/>
      <family val="2"/>
    </font>
    <font>
      <sz val="6"/>
      <name val="Helv"/>
      <family val="0"/>
    </font>
    <font>
      <sz val="6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sz val="9"/>
      <name val="DepCentury Old Style"/>
      <family val="1"/>
    </font>
    <font>
      <u val="single"/>
      <sz val="10"/>
      <name val="Arial Narrow"/>
      <family val="2"/>
    </font>
    <font>
      <i/>
      <sz val="10"/>
      <name val="Arial Narrow"/>
      <family val="2"/>
    </font>
    <font>
      <b/>
      <u val="single"/>
      <sz val="12"/>
      <name val="DepCentury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DepCentury Old Style"/>
      <family val="1"/>
    </font>
    <font>
      <b/>
      <u val="single"/>
      <sz val="11"/>
      <name val="DepCentury Old Style"/>
      <family val="1"/>
    </font>
    <font>
      <b/>
      <sz val="14"/>
      <name val="Arial"/>
      <family val="2"/>
    </font>
    <font>
      <b/>
      <u val="single"/>
      <sz val="14"/>
      <name val="Arial"/>
      <family val="2"/>
    </font>
    <font>
      <i/>
      <sz val="11"/>
      <name val="DepCentury Old Style"/>
      <family val="1"/>
    </font>
    <font>
      <b/>
      <i/>
      <sz val="11"/>
      <name val="DepCentury Old Style"/>
      <family val="1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Times New Roman"/>
      <family val="1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73" fontId="2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vertical="top"/>
    </xf>
    <xf numFmtId="0" fontId="11" fillId="0" borderId="0" xfId="0" applyFont="1" applyAlignment="1">
      <alignment vertical="top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1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1" xfId="0" applyFont="1" applyFill="1" applyBorder="1" applyAlignment="1">
      <alignment/>
    </xf>
    <xf numFmtId="0" fontId="15" fillId="0" borderId="1" xfId="0" applyFont="1" applyFill="1" applyBorder="1" applyAlignment="1">
      <alignment horizontal="right"/>
    </xf>
    <xf numFmtId="0" fontId="16" fillId="0" borderId="0" xfId="0" applyFont="1" applyAlignment="1">
      <alignment vertical="top"/>
    </xf>
    <xf numFmtId="0" fontId="16" fillId="0" borderId="0" xfId="0" applyFont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1" xfId="0" applyFont="1" applyFill="1" applyBorder="1" applyAlignment="1">
      <alignment horizontal="right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3" fillId="0" borderId="2" xfId="0" applyFont="1" applyFill="1" applyBorder="1" applyAlignment="1">
      <alignment/>
    </xf>
    <xf numFmtId="0" fontId="13" fillId="0" borderId="1" xfId="18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172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173" fontId="14" fillId="0" borderId="0" xfId="17" applyNumberFormat="1" applyFont="1" applyBorder="1" applyAlignment="1">
      <alignment/>
    </xf>
    <xf numFmtId="0" fontId="0" fillId="0" borderId="1" xfId="0" applyFont="1" applyBorder="1" applyAlignment="1">
      <alignment/>
    </xf>
    <xf numFmtId="0" fontId="14" fillId="0" borderId="1" xfId="0" applyFont="1" applyBorder="1" applyAlignment="1">
      <alignment horizontal="right"/>
    </xf>
    <xf numFmtId="173" fontId="14" fillId="0" borderId="1" xfId="0" applyNumberFormat="1" applyFont="1" applyBorder="1" applyAlignment="1">
      <alignment/>
    </xf>
    <xf numFmtId="173" fontId="14" fillId="0" borderId="1" xfId="17" applyNumberFormat="1" applyFont="1" applyBorder="1" applyAlignment="1">
      <alignment/>
    </xf>
    <xf numFmtId="0" fontId="14" fillId="0" borderId="2" xfId="0" applyFont="1" applyBorder="1" applyAlignment="1">
      <alignment/>
    </xf>
    <xf numFmtId="3" fontId="14" fillId="0" borderId="0" xfId="0" applyNumberFormat="1" applyFont="1" applyBorder="1" applyAlignment="1">
      <alignment/>
    </xf>
    <xf numFmtId="16" fontId="14" fillId="0" borderId="0" xfId="0" applyNumberFormat="1" applyFont="1" applyBorder="1" applyAlignment="1">
      <alignment/>
    </xf>
    <xf numFmtId="172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Border="1" applyAlignment="1">
      <alignment horizontal="right" vertical="top"/>
    </xf>
    <xf numFmtId="3" fontId="14" fillId="0" borderId="1" xfId="0" applyNumberFormat="1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2" xfId="0" applyFont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1" xfId="0" applyFont="1" applyFill="1" applyBorder="1" applyAlignment="1">
      <alignment horizontal="right"/>
    </xf>
    <xf numFmtId="172" fontId="14" fillId="0" borderId="1" xfId="0" applyNumberFormat="1" applyFont="1" applyFill="1" applyBorder="1" applyAlignment="1">
      <alignment/>
    </xf>
    <xf numFmtId="0" fontId="13" fillId="0" borderId="2" xfId="0" applyFont="1" applyFill="1" applyBorder="1" applyAlignment="1">
      <alignment horizontal="centerContinuous"/>
    </xf>
    <xf numFmtId="0" fontId="14" fillId="0" borderId="2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right"/>
    </xf>
    <xf numFmtId="0" fontId="13" fillId="0" borderId="1" xfId="0" applyFont="1" applyBorder="1" applyAlignment="1">
      <alignment/>
    </xf>
    <xf numFmtId="0" fontId="17" fillId="0" borderId="2" xfId="0" applyFont="1" applyFill="1" applyBorder="1" applyAlignment="1">
      <alignment horizontal="centerContinuous"/>
    </xf>
    <xf numFmtId="0" fontId="18" fillId="0" borderId="2" xfId="0" applyFont="1" applyFill="1" applyBorder="1" applyAlignment="1">
      <alignment/>
    </xf>
    <xf numFmtId="173" fontId="14" fillId="0" borderId="0" xfId="0" applyNumberFormat="1" applyFont="1" applyAlignment="1">
      <alignment/>
    </xf>
    <xf numFmtId="173" fontId="14" fillId="0" borderId="3" xfId="0" applyNumberFormat="1" applyFont="1" applyBorder="1" applyAlignment="1">
      <alignment/>
    </xf>
    <xf numFmtId="173" fontId="14" fillId="0" borderId="1" xfId="0" applyNumberFormat="1" applyFont="1" applyBorder="1" applyAlignment="1">
      <alignment horizontal="right"/>
    </xf>
    <xf numFmtId="17" fontId="14" fillId="0" borderId="0" xfId="0" applyNumberFormat="1" applyFont="1" applyBorder="1" applyAlignment="1">
      <alignment vertical="top"/>
    </xf>
    <xf numFmtId="17" fontId="14" fillId="0" borderId="1" xfId="0" applyNumberFormat="1" applyFont="1" applyBorder="1" applyAlignment="1">
      <alignment vertical="top"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  <xf numFmtId="173" fontId="14" fillId="0" borderId="3" xfId="17" applyNumberFormat="1" applyFont="1" applyBorder="1" applyAlignment="1">
      <alignment/>
    </xf>
    <xf numFmtId="172" fontId="13" fillId="0" borderId="2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13" fillId="0" borderId="2" xfId="0" applyFont="1" applyBorder="1" applyAlignment="1">
      <alignment/>
    </xf>
    <xf numFmtId="0" fontId="19" fillId="0" borderId="0" xfId="0" applyFont="1" applyAlignment="1">
      <alignment/>
    </xf>
    <xf numFmtId="0" fontId="13" fillId="0" borderId="4" xfId="0" applyFont="1" applyFill="1" applyBorder="1" applyAlignment="1">
      <alignment horizontal="right"/>
    </xf>
    <xf numFmtId="3" fontId="1" fillId="0" borderId="0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 vertical="top"/>
    </xf>
    <xf numFmtId="0" fontId="29" fillId="0" borderId="1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172" fontId="2" fillId="0" borderId="2" xfId="0" applyNumberFormat="1" applyFont="1" applyBorder="1" applyAlignment="1">
      <alignment/>
    </xf>
    <xf numFmtId="16" fontId="4" fillId="0" borderId="2" xfId="0" applyNumberFormat="1" applyFont="1" applyBorder="1" applyAlignment="1">
      <alignment/>
    </xf>
    <xf numFmtId="1" fontId="1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 vertical="top"/>
    </xf>
    <xf numFmtId="172" fontId="14" fillId="0" borderId="0" xfId="0" applyNumberFormat="1" applyFont="1" applyAlignment="1">
      <alignment vertical="top"/>
    </xf>
    <xf numFmtId="172" fontId="14" fillId="0" borderId="0" xfId="0" applyNumberFormat="1" applyFont="1" applyBorder="1" applyAlignment="1">
      <alignment vertical="top"/>
    </xf>
    <xf numFmtId="3" fontId="14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4" fillId="0" borderId="0" xfId="0" applyNumberFormat="1" applyFont="1" applyAlignment="1">
      <alignment vertical="top"/>
    </xf>
    <xf numFmtId="172" fontId="14" fillId="0" borderId="2" xfId="0" applyNumberFormat="1" applyFont="1" applyBorder="1" applyAlignment="1">
      <alignment vertical="top"/>
    </xf>
    <xf numFmtId="173" fontId="14" fillId="0" borderId="0" xfId="17" applyNumberFormat="1" applyFont="1" applyBorder="1" applyAlignment="1">
      <alignment vertical="top"/>
    </xf>
    <xf numFmtId="173" fontId="14" fillId="0" borderId="0" xfId="0" applyNumberFormat="1" applyFont="1" applyAlignment="1">
      <alignment vertical="top"/>
    </xf>
    <xf numFmtId="173" fontId="1" fillId="0" borderId="0" xfId="0" applyNumberFormat="1" applyFont="1" applyBorder="1" applyAlignment="1">
      <alignment vertical="top"/>
    </xf>
    <xf numFmtId="173" fontId="14" fillId="0" borderId="0" xfId="0" applyNumberFormat="1" applyFont="1" applyBorder="1" applyAlignment="1">
      <alignment vertical="top"/>
    </xf>
    <xf numFmtId="173" fontId="14" fillId="0" borderId="3" xfId="0" applyNumberFormat="1" applyFont="1" applyBorder="1" applyAlignment="1">
      <alignment vertical="top"/>
    </xf>
    <xf numFmtId="173" fontId="14" fillId="0" borderId="1" xfId="0" applyNumberFormat="1" applyFont="1" applyBorder="1" applyAlignment="1">
      <alignment vertical="top"/>
    </xf>
    <xf numFmtId="172" fontId="14" fillId="0" borderId="3" xfId="0" applyNumberFormat="1" applyFont="1" applyBorder="1" applyAlignment="1">
      <alignment vertical="top"/>
    </xf>
    <xf numFmtId="172" fontId="1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172" fontId="14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 vertical="top"/>
    </xf>
    <xf numFmtId="172" fontId="14" fillId="0" borderId="5" xfId="0" applyNumberFormat="1" applyFont="1" applyBorder="1" applyAlignment="1">
      <alignment vertical="top"/>
    </xf>
    <xf numFmtId="172" fontId="14" fillId="0" borderId="4" xfId="0" applyNumberFormat="1" applyFont="1" applyBorder="1" applyAlignment="1">
      <alignment vertical="top"/>
    </xf>
    <xf numFmtId="172" fontId="14" fillId="0" borderId="6" xfId="0" applyNumberFormat="1" applyFont="1" applyFill="1" applyBorder="1" applyAlignment="1">
      <alignment/>
    </xf>
    <xf numFmtId="0" fontId="13" fillId="0" borderId="4" xfId="0" applyFont="1" applyBorder="1" applyAlignment="1">
      <alignment/>
    </xf>
    <xf numFmtId="173" fontId="14" fillId="0" borderId="5" xfId="17" applyNumberFormat="1" applyFont="1" applyBorder="1" applyAlignment="1">
      <alignment/>
    </xf>
    <xf numFmtId="173" fontId="14" fillId="0" borderId="5" xfId="17" applyNumberFormat="1" applyFont="1" applyBorder="1" applyAlignment="1">
      <alignment vertical="top"/>
    </xf>
    <xf numFmtId="173" fontId="14" fillId="0" borderId="6" xfId="17" applyNumberFormat="1" applyFont="1" applyBorder="1" applyAlignment="1">
      <alignment/>
    </xf>
    <xf numFmtId="172" fontId="13" fillId="0" borderId="4" xfId="0" applyNumberFormat="1" applyFont="1" applyBorder="1" applyAlignment="1">
      <alignment horizontal="right"/>
    </xf>
    <xf numFmtId="173" fontId="14" fillId="0" borderId="5" xfId="0" applyNumberFormat="1" applyFont="1" applyBorder="1" applyAlignment="1">
      <alignment/>
    </xf>
    <xf numFmtId="173" fontId="14" fillId="0" borderId="5" xfId="0" applyNumberFormat="1" applyFont="1" applyBorder="1" applyAlignment="1">
      <alignment vertical="top"/>
    </xf>
    <xf numFmtId="173" fontId="14" fillId="0" borderId="7" xfId="0" applyNumberFormat="1" applyFont="1" applyBorder="1" applyAlignment="1">
      <alignment/>
    </xf>
    <xf numFmtId="173" fontId="14" fillId="0" borderId="6" xfId="0" applyNumberFormat="1" applyFont="1" applyBorder="1" applyAlignment="1">
      <alignment/>
    </xf>
    <xf numFmtId="0" fontId="13" fillId="0" borderId="3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2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2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0"/>
  <sheetViews>
    <sheetView tabSelected="1" zoomScale="75" zoomScaleNormal="75" workbookViewId="0" topLeftCell="A39">
      <pane xSplit="5" topLeftCell="F1" activePane="topRight" state="frozen"/>
      <selection pane="topLeft" activeCell="A1" sqref="A1"/>
      <selection pane="topRight" activeCell="J34" sqref="J34"/>
    </sheetView>
  </sheetViews>
  <sheetFormatPr defaultColWidth="11.421875" defaultRowHeight="12.75"/>
  <cols>
    <col min="1" max="1" width="2.28125" style="1" customWidth="1"/>
    <col min="2" max="2" width="8.8515625" style="1" customWidth="1"/>
    <col min="3" max="3" width="31.421875" style="1" customWidth="1"/>
    <col min="4" max="4" width="0.13671875" style="1" customWidth="1"/>
    <col min="5" max="5" width="2.421875" style="2" hidden="1" customWidth="1"/>
    <col min="6" max="15" width="7.7109375" style="1" customWidth="1"/>
    <col min="16" max="16" width="7.7109375" style="3" customWidth="1"/>
    <col min="17" max="20" width="7.7109375" style="1" customWidth="1"/>
    <col min="21" max="16384" width="8.8515625" style="1" customWidth="1"/>
  </cols>
  <sheetData>
    <row r="1" spans="1:3" ht="18.75" customHeight="1">
      <c r="A1" s="141" t="s">
        <v>55</v>
      </c>
      <c r="B1" s="97"/>
      <c r="C1" s="5"/>
    </row>
    <row r="2" spans="1:3" ht="18.75" customHeight="1">
      <c r="A2" s="91"/>
      <c r="B2" s="97"/>
      <c r="C2" s="5"/>
    </row>
    <row r="3" spans="1:18" ht="18.75" customHeight="1">
      <c r="A3" s="142" t="s">
        <v>59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</row>
    <row r="4" spans="1:3" ht="9" customHeight="1">
      <c r="A4" s="91"/>
      <c r="B4" s="4"/>
      <c r="C4" s="5"/>
    </row>
    <row r="5" spans="1:14" ht="15.75">
      <c r="A5" s="98" t="s">
        <v>57</v>
      </c>
      <c r="B5" s="99"/>
      <c r="C5" s="96"/>
      <c r="D5" s="96"/>
      <c r="E5" s="100"/>
      <c r="F5" s="96"/>
      <c r="G5" s="96"/>
      <c r="H5" s="96"/>
      <c r="I5" s="96"/>
      <c r="J5" s="8"/>
      <c r="K5" s="5"/>
      <c r="L5" s="5"/>
      <c r="M5" s="5"/>
      <c r="N5" s="5"/>
    </row>
    <row r="6" spans="1:14" ht="15.75">
      <c r="A6" s="98" t="s">
        <v>60</v>
      </c>
      <c r="B6" s="95"/>
      <c r="C6" s="8"/>
      <c r="D6" s="8"/>
      <c r="E6" s="9"/>
      <c r="F6" s="8"/>
      <c r="G6" s="8"/>
      <c r="H6" s="8"/>
      <c r="I6" s="8"/>
      <c r="J6" s="8"/>
      <c r="K6" s="5"/>
      <c r="L6" s="5"/>
      <c r="M6" s="5"/>
      <c r="N6" s="5"/>
    </row>
    <row r="7" spans="1:20" s="11" customFormat="1" ht="12.75">
      <c r="A7" s="138"/>
      <c r="B7" s="139"/>
      <c r="C7" s="139"/>
      <c r="D7" s="37"/>
      <c r="E7" s="38"/>
      <c r="F7" s="74" t="s">
        <v>0</v>
      </c>
      <c r="G7" s="75"/>
      <c r="H7" s="75"/>
      <c r="I7" s="75"/>
      <c r="J7" s="75"/>
      <c r="K7" s="75"/>
      <c r="L7" s="75"/>
      <c r="M7" s="75"/>
      <c r="N7" s="61"/>
      <c r="O7" s="61"/>
      <c r="P7" s="85"/>
      <c r="Q7" s="85"/>
      <c r="R7" s="76"/>
      <c r="S7" s="92" t="s">
        <v>1</v>
      </c>
      <c r="T7" s="85"/>
    </row>
    <row r="8" spans="1:20" s="13" customFormat="1" ht="12.75">
      <c r="A8" s="41"/>
      <c r="B8" s="41"/>
      <c r="C8" s="41"/>
      <c r="D8" s="41"/>
      <c r="E8" s="42"/>
      <c r="F8" s="41">
        <v>1988</v>
      </c>
      <c r="G8" s="41">
        <v>1989</v>
      </c>
      <c r="H8" s="41">
        <v>1990</v>
      </c>
      <c r="I8" s="41">
        <v>1991</v>
      </c>
      <c r="J8" s="41">
        <v>1992</v>
      </c>
      <c r="K8" s="41">
        <v>1993</v>
      </c>
      <c r="L8" s="41">
        <v>1994</v>
      </c>
      <c r="M8" s="41">
        <v>1995</v>
      </c>
      <c r="N8" s="41">
        <v>1996</v>
      </c>
      <c r="O8" s="41">
        <v>1997</v>
      </c>
      <c r="P8" s="41">
        <v>1998</v>
      </c>
      <c r="Q8" s="77">
        <v>1999</v>
      </c>
      <c r="R8" s="86">
        <v>2000</v>
      </c>
      <c r="S8" s="122" t="s">
        <v>72</v>
      </c>
      <c r="T8" s="86">
        <v>2002</v>
      </c>
    </row>
    <row r="9" spans="1:20" s="11" customFormat="1" ht="12.75">
      <c r="A9" s="40" t="s">
        <v>2</v>
      </c>
      <c r="B9" s="40"/>
      <c r="C9" s="40"/>
      <c r="D9" s="40"/>
      <c r="E9" s="55"/>
      <c r="F9" s="54">
        <f>54383+1990</f>
        <v>56373</v>
      </c>
      <c r="G9" s="54">
        <v>58699</v>
      </c>
      <c r="H9" s="54">
        <v>61552</v>
      </c>
      <c r="I9" s="54">
        <f>61411+2597</f>
        <v>64008</v>
      </c>
      <c r="J9" s="54">
        <v>65308</v>
      </c>
      <c r="K9" s="54">
        <v>68281</v>
      </c>
      <c r="L9" s="54">
        <v>74986</v>
      </c>
      <c r="M9" s="54">
        <v>75898</v>
      </c>
      <c r="N9" s="54">
        <v>80747</v>
      </c>
      <c r="O9" s="62">
        <f>SUM(O10:O11)</f>
        <v>85185</v>
      </c>
      <c r="P9" s="54">
        <f>SUM(P10:P11)</f>
        <v>88640</v>
      </c>
      <c r="Q9" s="54">
        <f>SUM(Q10:Q11)</f>
        <v>89968</v>
      </c>
      <c r="R9" s="54">
        <v>93634</v>
      </c>
      <c r="S9" s="123">
        <v>107735</v>
      </c>
      <c r="T9" s="54">
        <v>91006</v>
      </c>
    </row>
    <row r="10" spans="1:20" s="11" customFormat="1" ht="12.75">
      <c r="A10" s="40"/>
      <c r="B10" s="63" t="s">
        <v>3</v>
      </c>
      <c r="C10" s="40"/>
      <c r="D10" s="40"/>
      <c r="E10" s="55"/>
      <c r="F10" s="54">
        <v>54383</v>
      </c>
      <c r="G10" s="54">
        <v>56326</v>
      </c>
      <c r="H10" s="54">
        <v>58925</v>
      </c>
      <c r="I10" s="54">
        <v>61411</v>
      </c>
      <c r="J10" s="54">
        <v>62382</v>
      </c>
      <c r="K10" s="54">
        <v>65277</v>
      </c>
      <c r="L10" s="54">
        <v>71763</v>
      </c>
      <c r="M10" s="54">
        <v>72570</v>
      </c>
      <c r="N10" s="54">
        <v>77187</v>
      </c>
      <c r="O10" s="62">
        <v>81789</v>
      </c>
      <c r="P10" s="54">
        <v>85469</v>
      </c>
      <c r="Q10" s="62">
        <v>86861</v>
      </c>
      <c r="R10" s="54">
        <v>90333</v>
      </c>
      <c r="S10" s="124">
        <v>104435</v>
      </c>
      <c r="T10" s="93">
        <v>87596</v>
      </c>
    </row>
    <row r="11" spans="1:20" s="11" customFormat="1" ht="12.75" customHeight="1">
      <c r="A11" s="40"/>
      <c r="B11" s="144" t="s">
        <v>4</v>
      </c>
      <c r="C11" s="144"/>
      <c r="D11" s="40"/>
      <c r="E11" s="55"/>
      <c r="F11" s="109">
        <f>1704+286</f>
        <v>1990</v>
      </c>
      <c r="G11" s="109">
        <f>1961+412</f>
        <v>2373</v>
      </c>
      <c r="H11" s="109">
        <f>2216+411</f>
        <v>2627</v>
      </c>
      <c r="I11" s="109">
        <f>2267+330</f>
        <v>2597</v>
      </c>
      <c r="J11" s="109">
        <f>2591+335</f>
        <v>2926</v>
      </c>
      <c r="K11" s="109">
        <f>2685+319</f>
        <v>3004</v>
      </c>
      <c r="L11" s="109">
        <f>2792+431</f>
        <v>3223</v>
      </c>
      <c r="M11" s="109">
        <f>2898+430</f>
        <v>3328</v>
      </c>
      <c r="N11" s="109">
        <f>3034+526</f>
        <v>3560</v>
      </c>
      <c r="O11" s="110">
        <f>2842+554</f>
        <v>3396</v>
      </c>
      <c r="P11" s="109">
        <v>3171</v>
      </c>
      <c r="Q11" s="110">
        <v>3107</v>
      </c>
      <c r="R11" s="109">
        <v>3301</v>
      </c>
      <c r="S11" s="125">
        <v>3300</v>
      </c>
      <c r="T11" s="111">
        <v>3410</v>
      </c>
    </row>
    <row r="12" spans="1:20" ht="12.75">
      <c r="A12" s="46" t="s">
        <v>5</v>
      </c>
      <c r="B12" s="46"/>
      <c r="C12" s="46"/>
      <c r="D12" s="46"/>
      <c r="E12" s="55"/>
      <c r="F12" s="108">
        <f>SUM(F13:F15)</f>
        <v>45370</v>
      </c>
      <c r="G12" s="108">
        <f>SUM(G13:G15)</f>
        <v>51000</v>
      </c>
      <c r="H12" s="64">
        <v>54339</v>
      </c>
      <c r="I12" s="64">
        <f>SUM(I13:I15)</f>
        <v>58782</v>
      </c>
      <c r="J12" s="64">
        <f>SUM(J13:J15)</f>
        <v>63478</v>
      </c>
      <c r="K12" s="64">
        <f>SUM(K13:K15)</f>
        <v>63883</v>
      </c>
      <c r="L12" s="64">
        <v>65816</v>
      </c>
      <c r="M12" s="64">
        <v>67273</v>
      </c>
      <c r="N12" s="64">
        <v>68774</v>
      </c>
      <c r="O12" s="54">
        <v>73918</v>
      </c>
      <c r="P12" s="54">
        <v>79103</v>
      </c>
      <c r="Q12" s="54">
        <v>86362</v>
      </c>
      <c r="R12" s="54">
        <v>93878</v>
      </c>
      <c r="S12" s="124">
        <v>98100</v>
      </c>
      <c r="T12" s="93">
        <v>93841</v>
      </c>
    </row>
    <row r="13" spans="1:20" ht="12.75">
      <c r="A13" s="46"/>
      <c r="B13" s="46" t="s">
        <v>6</v>
      </c>
      <c r="C13" s="46"/>
      <c r="D13" s="46"/>
      <c r="E13" s="55"/>
      <c r="F13" s="108">
        <v>36103</v>
      </c>
      <c r="G13" s="108">
        <v>39442</v>
      </c>
      <c r="H13" s="64">
        <v>41043</v>
      </c>
      <c r="I13" s="64">
        <v>40887</v>
      </c>
      <c r="J13" s="64">
        <v>42951</v>
      </c>
      <c r="K13" s="64">
        <v>40697</v>
      </c>
      <c r="L13" s="64">
        <v>41823</v>
      </c>
      <c r="M13" s="64">
        <v>42453</v>
      </c>
      <c r="N13" s="64">
        <v>42700</v>
      </c>
      <c r="O13" s="62">
        <v>46242</v>
      </c>
      <c r="P13" s="54">
        <v>46699</v>
      </c>
      <c r="Q13" s="64">
        <v>49199</v>
      </c>
      <c r="R13" s="64">
        <v>54186</v>
      </c>
      <c r="S13" s="124">
        <v>54193</v>
      </c>
      <c r="T13" s="93">
        <v>52221</v>
      </c>
    </row>
    <row r="14" spans="1:20" ht="14.25" customHeight="1">
      <c r="A14" s="46"/>
      <c r="B14" s="145" t="s">
        <v>7</v>
      </c>
      <c r="C14" s="145"/>
      <c r="D14" s="46"/>
      <c r="E14" s="101" t="s">
        <v>8</v>
      </c>
      <c r="F14" s="108">
        <f>7406-524</f>
        <v>6882</v>
      </c>
      <c r="G14" s="108">
        <f>9110-219</f>
        <v>8891</v>
      </c>
      <c r="H14" s="108">
        <f>9464+1089</f>
        <v>10553</v>
      </c>
      <c r="I14" s="108">
        <f>13541+984</f>
        <v>14525</v>
      </c>
      <c r="J14" s="108">
        <v>16258</v>
      </c>
      <c r="K14" s="108">
        <v>17427</v>
      </c>
      <c r="L14" s="108">
        <f aca="true" t="shared" si="0" ref="L14:Q14">L12-L13-L15</f>
        <v>16898</v>
      </c>
      <c r="M14" s="108">
        <f t="shared" si="0"/>
        <v>18408</v>
      </c>
      <c r="N14" s="108">
        <f t="shared" si="0"/>
        <v>19948</v>
      </c>
      <c r="O14" s="108">
        <f t="shared" si="0"/>
        <v>21733</v>
      </c>
      <c r="P14" s="108">
        <f t="shared" si="0"/>
        <v>25635</v>
      </c>
      <c r="Q14" s="108">
        <f t="shared" si="0"/>
        <v>30727</v>
      </c>
      <c r="R14" s="108">
        <v>33178</v>
      </c>
      <c r="S14" s="126">
        <v>36272</v>
      </c>
      <c r="T14" s="109">
        <v>14934</v>
      </c>
    </row>
    <row r="15" spans="1:20" ht="13.5" customHeight="1">
      <c r="A15" s="46"/>
      <c r="B15" s="145" t="s">
        <v>9</v>
      </c>
      <c r="C15" s="145"/>
      <c r="D15" s="46"/>
      <c r="E15" s="55"/>
      <c r="F15" s="108">
        <f>1861+524</f>
        <v>2385</v>
      </c>
      <c r="G15" s="108">
        <f>2448+219</f>
        <v>2667</v>
      </c>
      <c r="H15" s="108">
        <f>3840-1089</f>
        <v>2751</v>
      </c>
      <c r="I15" s="108">
        <f>4354-984</f>
        <v>3370</v>
      </c>
      <c r="J15" s="108">
        <v>4269</v>
      </c>
      <c r="K15" s="108">
        <f>1916+3486+357</f>
        <v>5759</v>
      </c>
      <c r="L15" s="108">
        <f>2348+3723+1024</f>
        <v>7095</v>
      </c>
      <c r="M15" s="108">
        <v>6412</v>
      </c>
      <c r="N15" s="108">
        <v>6126</v>
      </c>
      <c r="O15" s="110">
        <v>5943</v>
      </c>
      <c r="P15" s="109">
        <v>6769</v>
      </c>
      <c r="Q15" s="112">
        <v>6436</v>
      </c>
      <c r="R15" s="108">
        <v>6514</v>
      </c>
      <c r="S15" s="125">
        <v>7635</v>
      </c>
      <c r="T15" s="111">
        <v>26687</v>
      </c>
    </row>
    <row r="16" spans="1:20" ht="14.25" customHeight="1">
      <c r="A16" s="46" t="s">
        <v>10</v>
      </c>
      <c r="B16" s="46"/>
      <c r="C16" s="46"/>
      <c r="D16" s="46"/>
      <c r="E16" s="101" t="s">
        <v>11</v>
      </c>
      <c r="F16" s="64">
        <f>10851</f>
        <v>10851</v>
      </c>
      <c r="G16" s="64">
        <f>12259</f>
        <v>12259</v>
      </c>
      <c r="H16" s="64">
        <f>13221</f>
        <v>13221</v>
      </c>
      <c r="I16" s="64">
        <f>15255</f>
        <v>15255</v>
      </c>
      <c r="J16" s="64">
        <f>16414</f>
        <v>16414</v>
      </c>
      <c r="K16" s="64">
        <f>17307</f>
        <v>17307</v>
      </c>
      <c r="L16" s="64">
        <v>18403</v>
      </c>
      <c r="M16" s="64">
        <v>19512</v>
      </c>
      <c r="N16" s="64">
        <f>25584-4704</f>
        <v>20880</v>
      </c>
      <c r="O16" s="62">
        <v>22247</v>
      </c>
      <c r="P16" s="54">
        <v>23056</v>
      </c>
      <c r="Q16" s="65">
        <v>25623</v>
      </c>
      <c r="R16" s="64">
        <v>27628</v>
      </c>
      <c r="S16" s="124">
        <v>29133</v>
      </c>
      <c r="T16" s="93">
        <v>28828</v>
      </c>
    </row>
    <row r="17" spans="1:20" ht="12.75">
      <c r="A17" s="46" t="s">
        <v>12</v>
      </c>
      <c r="B17" s="46" t="s">
        <v>13</v>
      </c>
      <c r="C17" s="46"/>
      <c r="D17" s="46"/>
      <c r="E17" s="66"/>
      <c r="F17" s="64">
        <v>2623</v>
      </c>
      <c r="G17" s="64">
        <v>2444</v>
      </c>
      <c r="H17" s="64">
        <v>2591</v>
      </c>
      <c r="I17" s="64">
        <v>2947</v>
      </c>
      <c r="J17" s="64">
        <v>3120</v>
      </c>
      <c r="K17" s="64">
        <v>3028</v>
      </c>
      <c r="L17" s="64">
        <v>2500</v>
      </c>
      <c r="M17" s="64">
        <v>2946</v>
      </c>
      <c r="N17" s="64">
        <v>3131</v>
      </c>
      <c r="O17" s="62">
        <v>3937</v>
      </c>
      <c r="P17" s="54">
        <v>4291</v>
      </c>
      <c r="Q17" s="65">
        <v>6124</v>
      </c>
      <c r="R17" s="64">
        <v>8058</v>
      </c>
      <c r="S17" s="124">
        <v>8100</v>
      </c>
      <c r="T17" s="93">
        <v>7875</v>
      </c>
    </row>
    <row r="18" spans="1:20" ht="12.75">
      <c r="A18" s="46" t="s">
        <v>14</v>
      </c>
      <c r="B18" s="46"/>
      <c r="C18" s="46"/>
      <c r="D18" s="46"/>
      <c r="E18" s="55"/>
      <c r="F18" s="64">
        <v>-2900</v>
      </c>
      <c r="G18" s="64">
        <v>-4750</v>
      </c>
      <c r="H18" s="64">
        <v>-4072</v>
      </c>
      <c r="I18" s="64">
        <v>-2093</v>
      </c>
      <c r="J18" s="64">
        <v>-400</v>
      </c>
      <c r="K18" s="64">
        <v>0</v>
      </c>
      <c r="L18" s="64">
        <v>0</v>
      </c>
      <c r="M18" s="64">
        <v>0</v>
      </c>
      <c r="N18" s="64">
        <v>0</v>
      </c>
      <c r="O18" s="62">
        <v>0</v>
      </c>
      <c r="P18" s="54">
        <v>0</v>
      </c>
      <c r="Q18" s="65">
        <v>0</v>
      </c>
      <c r="R18" s="64">
        <v>0</v>
      </c>
      <c r="S18" s="124">
        <v>0</v>
      </c>
      <c r="T18" s="11">
        <v>0</v>
      </c>
    </row>
    <row r="19" spans="1:20" ht="12.75">
      <c r="A19" s="46" t="s">
        <v>15</v>
      </c>
      <c r="B19" s="46"/>
      <c r="C19" s="46"/>
      <c r="D19" s="46"/>
      <c r="E19" s="55"/>
      <c r="F19" s="64">
        <v>1804</v>
      </c>
      <c r="G19" s="64">
        <v>1732</v>
      </c>
      <c r="H19" s="64">
        <v>1771</v>
      </c>
      <c r="I19" s="64">
        <v>1979</v>
      </c>
      <c r="J19" s="64">
        <v>2147</v>
      </c>
      <c r="K19" s="64">
        <v>2152</v>
      </c>
      <c r="L19" s="64">
        <v>2231</v>
      </c>
      <c r="M19" s="64">
        <v>2287</v>
      </c>
      <c r="N19" s="64">
        <v>2113</v>
      </c>
      <c r="O19" s="67">
        <v>2414</v>
      </c>
      <c r="P19" s="54">
        <v>2643</v>
      </c>
      <c r="Q19" s="65">
        <v>2677</v>
      </c>
      <c r="R19" s="64">
        <v>2750</v>
      </c>
      <c r="S19" s="124">
        <v>2900</v>
      </c>
      <c r="T19" s="93">
        <v>2925</v>
      </c>
    </row>
    <row r="20" spans="1:20" s="11" customFormat="1" ht="21.75" customHeight="1">
      <c r="A20" s="146" t="s">
        <v>16</v>
      </c>
      <c r="B20" s="146"/>
      <c r="C20" s="146"/>
      <c r="D20" s="68"/>
      <c r="E20" s="69"/>
      <c r="F20" s="113">
        <f>SUM(F9+F12+F16+F17+F18+F19)</f>
        <v>114121</v>
      </c>
      <c r="G20" s="113">
        <f aca="true" t="shared" si="1" ref="G20:T20">SUM(G9+G12+G16+G17+G18+G19)</f>
        <v>121384</v>
      </c>
      <c r="H20" s="113">
        <f t="shared" si="1"/>
        <v>129402</v>
      </c>
      <c r="I20" s="113">
        <f t="shared" si="1"/>
        <v>140878</v>
      </c>
      <c r="J20" s="113">
        <f t="shared" si="1"/>
        <v>150067</v>
      </c>
      <c r="K20" s="113">
        <f t="shared" si="1"/>
        <v>154651</v>
      </c>
      <c r="L20" s="113">
        <f t="shared" si="1"/>
        <v>163936</v>
      </c>
      <c r="M20" s="113">
        <f t="shared" si="1"/>
        <v>167916</v>
      </c>
      <c r="N20" s="113">
        <f t="shared" si="1"/>
        <v>175645</v>
      </c>
      <c r="O20" s="113">
        <f t="shared" si="1"/>
        <v>187701</v>
      </c>
      <c r="P20" s="113">
        <f t="shared" si="1"/>
        <v>197733</v>
      </c>
      <c r="Q20" s="113">
        <f t="shared" si="1"/>
        <v>210754</v>
      </c>
      <c r="R20" s="113">
        <f t="shared" si="1"/>
        <v>225948</v>
      </c>
      <c r="S20" s="127">
        <f t="shared" si="1"/>
        <v>245968</v>
      </c>
      <c r="T20" s="113">
        <f t="shared" si="1"/>
        <v>224475</v>
      </c>
    </row>
    <row r="21" spans="1:20" s="11" customFormat="1" ht="20.25" customHeight="1">
      <c r="A21" s="61" t="s">
        <v>17</v>
      </c>
      <c r="B21" s="146" t="s">
        <v>53</v>
      </c>
      <c r="C21" s="146"/>
      <c r="D21" s="61"/>
      <c r="E21" s="102" t="s">
        <v>18</v>
      </c>
      <c r="F21" s="113">
        <f aca="true" t="shared" si="2" ref="F21:T21">(F20-F15-F17)</f>
        <v>109113</v>
      </c>
      <c r="G21" s="113">
        <f t="shared" si="2"/>
        <v>116273</v>
      </c>
      <c r="H21" s="113">
        <f t="shared" si="2"/>
        <v>124060</v>
      </c>
      <c r="I21" s="113">
        <f t="shared" si="2"/>
        <v>134561</v>
      </c>
      <c r="J21" s="113">
        <f t="shared" si="2"/>
        <v>142678</v>
      </c>
      <c r="K21" s="113">
        <f t="shared" si="2"/>
        <v>145864</v>
      </c>
      <c r="L21" s="113">
        <f t="shared" si="2"/>
        <v>154341</v>
      </c>
      <c r="M21" s="113">
        <f t="shared" si="2"/>
        <v>158558</v>
      </c>
      <c r="N21" s="113">
        <f t="shared" si="2"/>
        <v>166388</v>
      </c>
      <c r="O21" s="113">
        <f t="shared" si="2"/>
        <v>177821</v>
      </c>
      <c r="P21" s="113">
        <f t="shared" si="2"/>
        <v>186673</v>
      </c>
      <c r="Q21" s="113">
        <f t="shared" si="2"/>
        <v>198194</v>
      </c>
      <c r="R21" s="113">
        <f t="shared" si="2"/>
        <v>211376</v>
      </c>
      <c r="S21" s="127">
        <f t="shared" si="2"/>
        <v>230233</v>
      </c>
      <c r="T21" s="120">
        <f t="shared" si="2"/>
        <v>189913</v>
      </c>
    </row>
    <row r="22" spans="1:20" s="16" customFormat="1" ht="12.75">
      <c r="A22" s="37" t="s">
        <v>19</v>
      </c>
      <c r="B22" s="37" t="s">
        <v>20</v>
      </c>
      <c r="C22" s="37"/>
      <c r="D22" s="37"/>
      <c r="E22" s="38"/>
      <c r="F22" s="70">
        <f>F21*1.037*1.023*1.037*1.019*1.005*1.024*1.033*1.036*1.033*1.052*1.039*1.047*1.071*1.035</f>
        <v>176529.80181440487</v>
      </c>
      <c r="G22" s="70">
        <f>G21*1.023*1.037*1.019*1.005*1.024*1.033*1.036*1.033*1.052*1.039*1.047*1.071*1.035</f>
        <v>181401.82777406514</v>
      </c>
      <c r="H22" s="70">
        <f>H21*1.037*1.019*1.005*1.024*1.033*1.036*1.033*1.052*1.039*1.047*1.071*1.035</f>
        <v>189199.03795067492</v>
      </c>
      <c r="I22" s="70">
        <f>I21*1.019*1.005*1.024*1.033*1.036*1.033*1.052*1.039*1.047*1.071*1.035</f>
        <v>197891.7078080455</v>
      </c>
      <c r="J22" s="70">
        <f>J21*1.005*1.024*1.033*1.036*1.033*1.052*1.039*1.047*1.071*1.035</f>
        <v>205916.53396471945</v>
      </c>
      <c r="K22" s="70">
        <f>K21*1.024*1.033*1.036*1.033*1.052*1.039*1.047*1.071*1.035</f>
        <v>209467.31397352266</v>
      </c>
      <c r="L22" s="70">
        <f>L21*1.033*1.036*1.033*1.052*1.039*1.047*1.071*1.035</f>
        <v>216445.96691140987</v>
      </c>
      <c r="M22" s="70">
        <f>M21*1.036*1.033*1.052*1.039*1.047*1.071*1.035</f>
        <v>215256.3766930267</v>
      </c>
      <c r="N22" s="70">
        <f>N21*1.033*1.052*1.039*1.047*1.071*1.035</f>
        <v>218036.95723976407</v>
      </c>
      <c r="O22" s="70">
        <f>O21*1.052*1.039*1.047*1.071*1.035</f>
        <v>225574.9334474779</v>
      </c>
      <c r="P22" s="70">
        <f>P21*1.039*1.047*1.071*1.035</f>
        <v>225098.99545583228</v>
      </c>
      <c r="Q22" s="70">
        <f>Q21*1.047*1.071*1.035</f>
        <v>230020.74466622996</v>
      </c>
      <c r="R22" s="54">
        <f>R21*1.071*1.035</f>
        <v>234307.12535999998</v>
      </c>
      <c r="S22" s="123">
        <f>S21*1.035</f>
        <v>238291.15499999997</v>
      </c>
      <c r="T22" s="121">
        <v>189002</v>
      </c>
    </row>
    <row r="23" spans="1:20" s="16" customFormat="1" ht="12.75">
      <c r="A23" s="71" t="s">
        <v>21</v>
      </c>
      <c r="B23" s="71"/>
      <c r="C23" s="71"/>
      <c r="D23" s="71"/>
      <c r="E23" s="72"/>
      <c r="F23" s="73">
        <f>F22*1000000/4198289</f>
        <v>42048.034762353156</v>
      </c>
      <c r="G23" s="73">
        <f>G22*1000000/4220686</f>
        <v>42979.22844155313</v>
      </c>
      <c r="H23" s="73">
        <f>H22*1000000/4233116</f>
        <v>44694.980707042974</v>
      </c>
      <c r="I23" s="73">
        <f>I22*1000000/4249830</f>
        <v>46564.61736305817</v>
      </c>
      <c r="J23" s="73">
        <f>J22*1000000/4273634</f>
        <v>48183.006304404975</v>
      </c>
      <c r="K23" s="73">
        <f>K22*1000000/4299167</f>
        <v>48722.76745088587</v>
      </c>
      <c r="L23" s="73">
        <f>L22*1000000/4324815</f>
        <v>50047.45102655486</v>
      </c>
      <c r="M23" s="73">
        <f>M22*1000000/4348410</f>
        <v>49502.318478024536</v>
      </c>
      <c r="N23" s="73">
        <f>N22*1000000/4369957</f>
        <v>49894.53151135448</v>
      </c>
      <c r="O23" s="73">
        <f>O22*1000000/4392714</f>
        <v>51352.06467971234</v>
      </c>
      <c r="P23" s="73">
        <f>P22*1000000/4417599</f>
        <v>50955.05396841865</v>
      </c>
      <c r="Q23" s="73">
        <f>Q22*1000000/4445329</f>
        <v>51744.36912683627</v>
      </c>
      <c r="R23" s="73">
        <f>R22*1000000/4478497</f>
        <v>52318.249930724516</v>
      </c>
      <c r="S23" s="128">
        <f>S22*1000000/4503436</f>
        <v>52913.18784146149</v>
      </c>
      <c r="T23" s="106">
        <f>T22*1000000/4525000</f>
        <v>41768.39779005525</v>
      </c>
    </row>
    <row r="24" spans="1:15" ht="12.75">
      <c r="A24" s="43" t="s">
        <v>22</v>
      </c>
      <c r="B24" s="17"/>
      <c r="C24" s="17"/>
      <c r="D24" s="17"/>
      <c r="E24" s="18"/>
      <c r="F24" s="17"/>
      <c r="G24" s="17"/>
      <c r="H24" s="17"/>
      <c r="I24" s="17"/>
      <c r="J24" s="17"/>
      <c r="K24" s="17"/>
      <c r="L24" s="17"/>
      <c r="M24" s="6"/>
      <c r="N24" s="6"/>
      <c r="O24" s="6"/>
    </row>
    <row r="25" spans="1:15" ht="12.75">
      <c r="A25" s="43" t="s">
        <v>23</v>
      </c>
      <c r="B25" s="17"/>
      <c r="C25" s="17"/>
      <c r="D25" s="17"/>
      <c r="E25" s="18"/>
      <c r="F25" s="17"/>
      <c r="G25" s="17"/>
      <c r="H25" s="17"/>
      <c r="I25" s="17"/>
      <c r="J25" s="17"/>
      <c r="K25" s="17"/>
      <c r="L25" s="17"/>
      <c r="M25" s="6"/>
      <c r="N25" s="6"/>
      <c r="O25" s="6"/>
    </row>
    <row r="26" spans="1:15" ht="12.75">
      <c r="A26" s="44" t="s">
        <v>24</v>
      </c>
      <c r="B26" s="19"/>
      <c r="C26" s="17"/>
      <c r="D26" s="17"/>
      <c r="E26" s="18"/>
      <c r="F26" s="17"/>
      <c r="G26" s="17"/>
      <c r="H26" s="17"/>
      <c r="I26" s="17"/>
      <c r="J26" s="17"/>
      <c r="K26" s="17"/>
      <c r="L26" s="17"/>
      <c r="M26" s="6"/>
      <c r="N26" s="6"/>
      <c r="O26" s="6"/>
    </row>
    <row r="27" spans="1:15" ht="12.75">
      <c r="A27" s="44" t="s">
        <v>25</v>
      </c>
      <c r="B27" s="17"/>
      <c r="C27" s="17"/>
      <c r="D27" s="20"/>
      <c r="E27" s="21"/>
      <c r="F27" s="17"/>
      <c r="G27" s="17"/>
      <c r="H27" s="17"/>
      <c r="I27" s="19"/>
      <c r="J27" s="17"/>
      <c r="K27" s="17"/>
      <c r="L27" s="17"/>
      <c r="M27" s="6"/>
      <c r="N27" s="6"/>
      <c r="O27" s="6"/>
    </row>
    <row r="28" spans="1:15" ht="12.75">
      <c r="A28" s="44" t="s">
        <v>73</v>
      </c>
      <c r="B28" s="17"/>
      <c r="C28" s="17"/>
      <c r="D28" s="20"/>
      <c r="E28" s="21"/>
      <c r="F28" s="17"/>
      <c r="G28" s="17"/>
      <c r="H28" s="17"/>
      <c r="I28" s="19"/>
      <c r="J28" s="17"/>
      <c r="K28" s="17"/>
      <c r="L28" s="17"/>
      <c r="M28" s="6"/>
      <c r="N28" s="6"/>
      <c r="O28" s="6"/>
    </row>
    <row r="29" spans="1:15" ht="12.75">
      <c r="A29" s="44"/>
      <c r="B29" s="17"/>
      <c r="C29" s="17"/>
      <c r="D29" s="20"/>
      <c r="E29" s="21"/>
      <c r="F29" s="17"/>
      <c r="G29" s="17"/>
      <c r="H29" s="17"/>
      <c r="I29" s="19"/>
      <c r="J29" s="17"/>
      <c r="K29" s="17"/>
      <c r="L29" s="17"/>
      <c r="M29" s="6"/>
      <c r="N29" s="6"/>
      <c r="O29" s="6"/>
    </row>
    <row r="30" spans="1:15" ht="18.75" customHeight="1">
      <c r="A30" s="44"/>
      <c r="B30" s="17"/>
      <c r="C30" s="17"/>
      <c r="D30" s="20"/>
      <c r="E30" s="21"/>
      <c r="F30" s="17"/>
      <c r="G30" s="17"/>
      <c r="H30" s="17"/>
      <c r="I30" s="19"/>
      <c r="J30" s="17"/>
      <c r="K30" s="17"/>
      <c r="L30" s="17"/>
      <c r="M30" s="6"/>
      <c r="N30" s="6"/>
      <c r="O30" s="6"/>
    </row>
    <row r="31" spans="1:15" ht="25.5" customHeight="1">
      <c r="A31" s="44"/>
      <c r="B31" s="17"/>
      <c r="C31" s="17"/>
      <c r="D31" s="20"/>
      <c r="E31" s="21"/>
      <c r="F31" s="17"/>
      <c r="G31" s="17"/>
      <c r="H31" s="17"/>
      <c r="I31" s="19"/>
      <c r="J31" s="17"/>
      <c r="K31" s="17"/>
      <c r="L31" s="17"/>
      <c r="M31" s="6"/>
      <c r="N31" s="6"/>
      <c r="O31" s="6"/>
    </row>
    <row r="32" spans="1:15" ht="15.75" customHeight="1">
      <c r="A32" s="44"/>
      <c r="B32" s="17"/>
      <c r="C32" s="17"/>
      <c r="D32" s="20"/>
      <c r="E32" s="21"/>
      <c r="F32" s="17"/>
      <c r="G32" s="17"/>
      <c r="H32" s="17"/>
      <c r="I32" s="19"/>
      <c r="J32" s="17"/>
      <c r="K32" s="17"/>
      <c r="L32" s="17"/>
      <c r="M32" s="6"/>
      <c r="N32" s="6"/>
      <c r="O32" s="6"/>
    </row>
    <row r="33" spans="1:15" ht="12.75">
      <c r="A33" s="44"/>
      <c r="B33" s="17"/>
      <c r="C33" s="17"/>
      <c r="D33" s="20"/>
      <c r="E33" s="21"/>
      <c r="F33" s="17"/>
      <c r="G33" s="17"/>
      <c r="H33" s="17"/>
      <c r="I33" s="19"/>
      <c r="J33" s="17"/>
      <c r="K33" s="17"/>
      <c r="L33" s="17"/>
      <c r="M33" s="6"/>
      <c r="N33" s="6"/>
      <c r="O33" s="6"/>
    </row>
    <row r="34" s="6" customFormat="1" ht="18" customHeight="1">
      <c r="A34" s="15"/>
    </row>
    <row r="35" spans="1:12" ht="33" customHeight="1">
      <c r="A35" s="22"/>
      <c r="B35" s="22"/>
      <c r="C35" s="22"/>
      <c r="D35" s="23"/>
      <c r="E35" s="24"/>
      <c r="F35" s="22"/>
      <c r="G35" s="22"/>
      <c r="H35" s="22"/>
      <c r="I35" s="22"/>
      <c r="J35" s="22"/>
      <c r="K35" s="22"/>
      <c r="L35" s="22"/>
    </row>
    <row r="36" spans="1:2" ht="15">
      <c r="A36" s="98" t="s">
        <v>56</v>
      </c>
      <c r="B36" s="98"/>
    </row>
    <row r="37" spans="1:17" ht="6" customHeight="1">
      <c r="A37" s="45"/>
      <c r="B37" s="11"/>
      <c r="C37" s="11"/>
      <c r="D37" s="11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4"/>
      <c r="Q37" s="11"/>
    </row>
    <row r="38" spans="1:20" ht="12.75" customHeight="1">
      <c r="A38" s="140"/>
      <c r="B38" s="139"/>
      <c r="C38" s="139"/>
      <c r="D38" s="37"/>
      <c r="E38" s="38"/>
      <c r="F38" s="48" t="s">
        <v>0</v>
      </c>
      <c r="G38" s="49"/>
      <c r="H38" s="49"/>
      <c r="I38" s="49"/>
      <c r="J38" s="49"/>
      <c r="K38" s="49"/>
      <c r="L38" s="49" t="s">
        <v>26</v>
      </c>
      <c r="M38" s="49"/>
      <c r="N38" s="46"/>
      <c r="O38" s="46"/>
      <c r="P38" s="104"/>
      <c r="Q38" s="85"/>
      <c r="R38" s="85"/>
      <c r="S38" s="92" t="s">
        <v>1</v>
      </c>
      <c r="T38" s="85"/>
    </row>
    <row r="39" spans="1:20" s="13" customFormat="1" ht="14.25" customHeight="1">
      <c r="A39" s="12"/>
      <c r="B39" s="41"/>
      <c r="C39" s="41"/>
      <c r="D39" s="41"/>
      <c r="E39" s="47"/>
      <c r="F39" s="50">
        <v>1988</v>
      </c>
      <c r="G39" s="50">
        <v>1989</v>
      </c>
      <c r="H39" s="50">
        <v>1990</v>
      </c>
      <c r="I39" s="50">
        <v>1991</v>
      </c>
      <c r="J39" s="50">
        <v>1992</v>
      </c>
      <c r="K39" s="50">
        <v>1993</v>
      </c>
      <c r="L39" s="50">
        <v>1994</v>
      </c>
      <c r="M39" s="50">
        <v>1995</v>
      </c>
      <c r="N39" s="50">
        <v>1996</v>
      </c>
      <c r="O39" s="50">
        <v>1997</v>
      </c>
      <c r="P39" s="51">
        <v>1998</v>
      </c>
      <c r="Q39" s="51">
        <v>1999</v>
      </c>
      <c r="R39" s="90">
        <v>2000</v>
      </c>
      <c r="S39" s="129">
        <v>2001</v>
      </c>
      <c r="T39" s="90">
        <v>2002</v>
      </c>
    </row>
    <row r="40" spans="1:43" s="10" customFormat="1" ht="14.25" customHeight="1">
      <c r="A40" s="107" t="s">
        <v>66</v>
      </c>
      <c r="B40" s="147" t="s">
        <v>67</v>
      </c>
      <c r="C40" s="148"/>
      <c r="D40" s="40"/>
      <c r="E40" s="53"/>
      <c r="F40" s="109">
        <f aca="true" t="shared" si="3" ref="F40:P40">F21</f>
        <v>109113</v>
      </c>
      <c r="G40" s="109">
        <f t="shared" si="3"/>
        <v>116273</v>
      </c>
      <c r="H40" s="109">
        <f t="shared" si="3"/>
        <v>124060</v>
      </c>
      <c r="I40" s="109">
        <f t="shared" si="3"/>
        <v>134561</v>
      </c>
      <c r="J40" s="109">
        <f t="shared" si="3"/>
        <v>142678</v>
      </c>
      <c r="K40" s="109">
        <f t="shared" si="3"/>
        <v>145864</v>
      </c>
      <c r="L40" s="109">
        <f t="shared" si="3"/>
        <v>154341</v>
      </c>
      <c r="M40" s="109">
        <f t="shared" si="3"/>
        <v>158558</v>
      </c>
      <c r="N40" s="109">
        <f t="shared" si="3"/>
        <v>166388</v>
      </c>
      <c r="O40" s="109">
        <f t="shared" si="3"/>
        <v>177821</v>
      </c>
      <c r="P40" s="109">
        <f t="shared" si="3"/>
        <v>186673</v>
      </c>
      <c r="Q40" s="109">
        <f>Q21</f>
        <v>198194</v>
      </c>
      <c r="R40" s="109">
        <f>R21</f>
        <v>211376</v>
      </c>
      <c r="S40" s="126">
        <f>S21</f>
        <v>230233</v>
      </c>
      <c r="T40" s="109">
        <f>T21</f>
        <v>189913</v>
      </c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1:20" ht="12.75">
      <c r="A41" s="52" t="s">
        <v>27</v>
      </c>
      <c r="B41" s="40"/>
      <c r="C41" s="40"/>
      <c r="D41" s="40"/>
      <c r="E41" s="55"/>
      <c r="F41" s="54">
        <f>F9+F13+F18</f>
        <v>89576</v>
      </c>
      <c r="G41" s="54">
        <f aca="true" t="shared" si="4" ref="G41:Q41">G9+G13+G18</f>
        <v>93391</v>
      </c>
      <c r="H41" s="54">
        <f t="shared" si="4"/>
        <v>98523</v>
      </c>
      <c r="I41" s="54">
        <f t="shared" si="4"/>
        <v>102802</v>
      </c>
      <c r="J41" s="54">
        <f t="shared" si="4"/>
        <v>107859</v>
      </c>
      <c r="K41" s="54">
        <f t="shared" si="4"/>
        <v>108978</v>
      </c>
      <c r="L41" s="54">
        <f t="shared" si="4"/>
        <v>116809</v>
      </c>
      <c r="M41" s="54">
        <f t="shared" si="4"/>
        <v>118351</v>
      </c>
      <c r="N41" s="54">
        <f t="shared" si="4"/>
        <v>123447</v>
      </c>
      <c r="O41" s="54">
        <f t="shared" si="4"/>
        <v>131427</v>
      </c>
      <c r="P41" s="54">
        <f t="shared" si="4"/>
        <v>135339</v>
      </c>
      <c r="Q41" s="54">
        <f t="shared" si="4"/>
        <v>139167</v>
      </c>
      <c r="R41" s="54">
        <f>R9+R13+R18</f>
        <v>147820</v>
      </c>
      <c r="S41" s="123">
        <f>S9+S13+S18</f>
        <v>161928</v>
      </c>
      <c r="T41" s="54">
        <f>T9+T13+T18</f>
        <v>143227</v>
      </c>
    </row>
    <row r="42" spans="1:20" ht="15">
      <c r="A42" s="52" t="s">
        <v>28</v>
      </c>
      <c r="B42" s="40"/>
      <c r="C42" s="40"/>
      <c r="D42" s="40"/>
      <c r="E42" s="103" t="s">
        <v>8</v>
      </c>
      <c r="F42" s="56">
        <f aca="true" t="shared" si="5" ref="F42:T42">(F9+F18)/F41</f>
        <v>0.5969567741359293</v>
      </c>
      <c r="G42" s="56">
        <f t="shared" si="5"/>
        <v>0.5776680836483173</v>
      </c>
      <c r="H42" s="56">
        <f t="shared" si="5"/>
        <v>0.5834170701257574</v>
      </c>
      <c r="I42" s="56">
        <f t="shared" si="5"/>
        <v>0.6022742748195561</v>
      </c>
      <c r="J42" s="56">
        <f t="shared" si="5"/>
        <v>0.6017856646176953</v>
      </c>
      <c r="K42" s="56">
        <f t="shared" si="5"/>
        <v>0.6265576538383894</v>
      </c>
      <c r="L42" s="56">
        <f t="shared" si="5"/>
        <v>0.6419539590271297</v>
      </c>
      <c r="M42" s="56">
        <f t="shared" si="5"/>
        <v>0.6412958065415586</v>
      </c>
      <c r="N42" s="56">
        <f t="shared" si="5"/>
        <v>0.6541025703338275</v>
      </c>
      <c r="O42" s="56">
        <f t="shared" si="5"/>
        <v>0.6481544888036704</v>
      </c>
      <c r="P42" s="56">
        <f t="shared" si="5"/>
        <v>0.6549479455293744</v>
      </c>
      <c r="Q42" s="56">
        <f t="shared" si="5"/>
        <v>0.6464750982632377</v>
      </c>
      <c r="R42" s="56">
        <f t="shared" si="5"/>
        <v>0.6334325531051278</v>
      </c>
      <c r="S42" s="130">
        <f t="shared" si="5"/>
        <v>0.6653265648930389</v>
      </c>
      <c r="T42" s="56">
        <f t="shared" si="5"/>
        <v>0.6353969572776083</v>
      </c>
    </row>
    <row r="43" spans="1:20" ht="14.25" customHeight="1">
      <c r="A43" s="107" t="s">
        <v>68</v>
      </c>
      <c r="B43" s="144" t="s">
        <v>69</v>
      </c>
      <c r="C43" s="149"/>
      <c r="D43" s="40"/>
      <c r="E43" s="55"/>
      <c r="F43" s="56">
        <f aca="true" t="shared" si="6" ref="F43:T43">F13/F41</f>
        <v>0.4030432258640707</v>
      </c>
      <c r="G43" s="56">
        <f t="shared" si="6"/>
        <v>0.4223319163516827</v>
      </c>
      <c r="H43" s="114">
        <f t="shared" si="6"/>
        <v>0.41658292987424256</v>
      </c>
      <c r="I43" s="114">
        <f t="shared" si="6"/>
        <v>0.39772572518044397</v>
      </c>
      <c r="J43" s="114">
        <f t="shared" si="6"/>
        <v>0.39821433538230466</v>
      </c>
      <c r="K43" s="114">
        <f t="shared" si="6"/>
        <v>0.3734423461616106</v>
      </c>
      <c r="L43" s="114">
        <f t="shared" si="6"/>
        <v>0.35804604097287024</v>
      </c>
      <c r="M43" s="114">
        <f t="shared" si="6"/>
        <v>0.3587041934584414</v>
      </c>
      <c r="N43" s="114">
        <f t="shared" si="6"/>
        <v>0.34589742966617254</v>
      </c>
      <c r="O43" s="114">
        <f t="shared" si="6"/>
        <v>0.3518455111963295</v>
      </c>
      <c r="P43" s="114">
        <f t="shared" si="6"/>
        <v>0.3450520544706256</v>
      </c>
      <c r="Q43" s="114">
        <f t="shared" si="6"/>
        <v>0.3535249017367623</v>
      </c>
      <c r="R43" s="114">
        <f t="shared" si="6"/>
        <v>0.36656744689487214</v>
      </c>
      <c r="S43" s="131">
        <f t="shared" si="6"/>
        <v>0.3346734351069611</v>
      </c>
      <c r="T43" s="114">
        <f t="shared" si="6"/>
        <v>0.36460304272239175</v>
      </c>
    </row>
    <row r="44" spans="1:20" ht="15">
      <c r="A44" s="57" t="s">
        <v>29</v>
      </c>
      <c r="B44" s="39" t="s">
        <v>30</v>
      </c>
      <c r="C44" s="39"/>
      <c r="D44" s="39"/>
      <c r="E44" s="102" t="s">
        <v>11</v>
      </c>
      <c r="F44" s="59">
        <f aca="true" t="shared" si="7" ref="F44:M44">F41/F40</f>
        <v>0.8209470915472951</v>
      </c>
      <c r="G44" s="59">
        <f t="shared" si="7"/>
        <v>0.8032045272763239</v>
      </c>
      <c r="H44" s="59">
        <f t="shared" si="7"/>
        <v>0.7941560535224891</v>
      </c>
      <c r="I44" s="59">
        <f t="shared" si="7"/>
        <v>0.7639806481818655</v>
      </c>
      <c r="J44" s="59">
        <f t="shared" si="7"/>
        <v>0.7559609750627286</v>
      </c>
      <c r="K44" s="59">
        <f t="shared" si="7"/>
        <v>0.74712060549553</v>
      </c>
      <c r="L44" s="59">
        <f t="shared" si="7"/>
        <v>0.7568241750409807</v>
      </c>
      <c r="M44" s="59">
        <f t="shared" si="7"/>
        <v>0.7464208680735125</v>
      </c>
      <c r="N44" s="59">
        <f aca="true" t="shared" si="8" ref="N44:T44">N41/N40</f>
        <v>0.7419224944106546</v>
      </c>
      <c r="O44" s="60">
        <f t="shared" si="8"/>
        <v>0.7390971819976269</v>
      </c>
      <c r="P44" s="60">
        <f t="shared" si="8"/>
        <v>0.7250057587331858</v>
      </c>
      <c r="Q44" s="60">
        <f t="shared" si="8"/>
        <v>0.7021756460841397</v>
      </c>
      <c r="R44" s="56">
        <f t="shared" si="8"/>
        <v>0.6993225342517599</v>
      </c>
      <c r="S44" s="132">
        <f t="shared" si="8"/>
        <v>0.7033222865531874</v>
      </c>
      <c r="T44" s="60">
        <f t="shared" si="8"/>
        <v>0.7541716470173184</v>
      </c>
    </row>
    <row r="45" spans="1:18" ht="12" customHeight="1">
      <c r="A45" s="44" t="s">
        <v>31</v>
      </c>
      <c r="B45" s="17"/>
      <c r="C45" s="21"/>
      <c r="D45" s="21"/>
      <c r="E45" s="21"/>
      <c r="F45" s="25"/>
      <c r="G45" s="25"/>
      <c r="H45" s="25"/>
      <c r="I45" s="25"/>
      <c r="J45" s="25"/>
      <c r="K45" s="25"/>
      <c r="L45" s="25"/>
      <c r="M45" s="25"/>
      <c r="N45" s="25"/>
      <c r="O45" s="15"/>
      <c r="R45" s="87"/>
    </row>
    <row r="46" spans="1:18" ht="12.75" customHeight="1">
      <c r="A46" s="44" t="s">
        <v>58</v>
      </c>
      <c r="B46" s="19"/>
      <c r="C46" s="19"/>
      <c r="D46" s="19"/>
      <c r="E46" s="24"/>
      <c r="F46" s="26"/>
      <c r="G46" s="26"/>
      <c r="H46" s="26"/>
      <c r="I46" s="26"/>
      <c r="J46" s="26"/>
      <c r="K46" s="26"/>
      <c r="L46" s="26"/>
      <c r="M46" s="26"/>
      <c r="N46" s="26"/>
      <c r="R46" s="11"/>
    </row>
    <row r="47" spans="1:14" ht="9" customHeight="1">
      <c r="A47" s="13"/>
      <c r="B47" s="13"/>
      <c r="C47" s="11"/>
      <c r="D47" s="11"/>
      <c r="F47" s="26"/>
      <c r="G47" s="26"/>
      <c r="H47" s="27"/>
      <c r="I47" s="26"/>
      <c r="J47" s="26"/>
      <c r="K47" s="26"/>
      <c r="L47" s="26"/>
      <c r="M47" s="28"/>
      <c r="N47" s="26"/>
    </row>
    <row r="48" spans="1:14" ht="9" customHeight="1">
      <c r="A48" s="13"/>
      <c r="B48" s="13"/>
      <c r="C48" s="11"/>
      <c r="D48" s="11"/>
      <c r="F48" s="26"/>
      <c r="G48" s="26"/>
      <c r="H48" s="27"/>
      <c r="I48" s="26"/>
      <c r="J48" s="26"/>
      <c r="K48" s="26"/>
      <c r="L48" s="26"/>
      <c r="M48" s="28"/>
      <c r="N48" s="26"/>
    </row>
    <row r="49" spans="1:14" ht="9" customHeight="1">
      <c r="A49" s="13"/>
      <c r="B49" s="13"/>
      <c r="C49" s="11"/>
      <c r="D49" s="11"/>
      <c r="F49" s="26"/>
      <c r="G49" s="26"/>
      <c r="H49" s="27"/>
      <c r="I49" s="26"/>
      <c r="J49" s="26"/>
      <c r="K49" s="26"/>
      <c r="L49" s="26"/>
      <c r="M49" s="28"/>
      <c r="N49" s="26"/>
    </row>
    <row r="50" spans="1:2" ht="15">
      <c r="A50" s="98" t="s">
        <v>62</v>
      </c>
      <c r="B50" s="98"/>
    </row>
    <row r="51" spans="1:19" ht="6.75" customHeight="1">
      <c r="A51" s="7"/>
      <c r="S51" s="10"/>
    </row>
    <row r="52" spans="1:20" ht="14.25" customHeight="1">
      <c r="A52" s="139"/>
      <c r="B52" s="139"/>
      <c r="C52" s="139"/>
      <c r="D52" s="37"/>
      <c r="E52" s="38"/>
      <c r="F52" s="74" t="s">
        <v>0</v>
      </c>
      <c r="G52" s="78"/>
      <c r="H52" s="78"/>
      <c r="I52" s="75"/>
      <c r="J52" s="78"/>
      <c r="K52" s="75"/>
      <c r="L52" s="75"/>
      <c r="M52" s="79"/>
      <c r="N52" s="61"/>
      <c r="O52" s="85"/>
      <c r="P52" s="76"/>
      <c r="Q52" s="85"/>
      <c r="R52" s="92" t="s">
        <v>1</v>
      </c>
      <c r="T52" s="85"/>
    </row>
    <row r="53" spans="1:25" s="13" customFormat="1" ht="15">
      <c r="A53" s="41"/>
      <c r="B53" s="41"/>
      <c r="C53" s="41"/>
      <c r="D53" s="41"/>
      <c r="E53" s="47"/>
      <c r="F53" s="47" t="s">
        <v>32</v>
      </c>
      <c r="G53" s="47" t="s">
        <v>33</v>
      </c>
      <c r="H53" s="47" t="s">
        <v>34</v>
      </c>
      <c r="I53" s="47" t="s">
        <v>35</v>
      </c>
      <c r="J53" s="47" t="s">
        <v>36</v>
      </c>
      <c r="K53" s="47" t="s">
        <v>37</v>
      </c>
      <c r="L53" s="47" t="s">
        <v>38</v>
      </c>
      <c r="M53" s="47" t="s">
        <v>39</v>
      </c>
      <c r="N53" s="47" t="s">
        <v>40</v>
      </c>
      <c r="O53" s="47" t="s">
        <v>41</v>
      </c>
      <c r="P53" s="47" t="s">
        <v>52</v>
      </c>
      <c r="Q53" s="47" t="s">
        <v>54</v>
      </c>
      <c r="R53" s="133" t="s">
        <v>64</v>
      </c>
      <c r="S53" s="105" t="s">
        <v>65</v>
      </c>
      <c r="T53" s="88" t="s">
        <v>63</v>
      </c>
      <c r="Y53" s="27"/>
    </row>
    <row r="54" spans="1:25" s="13" customFormat="1" ht="12.75">
      <c r="A54" s="40" t="s">
        <v>2</v>
      </c>
      <c r="B54" s="40"/>
      <c r="C54" s="40"/>
      <c r="D54" s="40"/>
      <c r="E54" s="55"/>
      <c r="F54" s="80">
        <f aca="true" t="shared" si="9" ref="F54:O68">G9/F9-1</f>
        <v>0.04126088730420596</v>
      </c>
      <c r="G54" s="80">
        <f t="shared" si="9"/>
        <v>0.04860389444453905</v>
      </c>
      <c r="H54" s="80">
        <f t="shared" si="9"/>
        <v>0.03990122173121913</v>
      </c>
      <c r="I54" s="80">
        <f t="shared" si="9"/>
        <v>0.02030996125484319</v>
      </c>
      <c r="J54" s="80">
        <f t="shared" si="9"/>
        <v>0.04552275372083048</v>
      </c>
      <c r="K54" s="80">
        <f t="shared" si="9"/>
        <v>0.09819715587059363</v>
      </c>
      <c r="L54" s="80">
        <f t="shared" si="9"/>
        <v>0.012162270290454247</v>
      </c>
      <c r="M54" s="80">
        <f t="shared" si="9"/>
        <v>0.06388837650530976</v>
      </c>
      <c r="N54" s="80">
        <f t="shared" si="9"/>
        <v>0.05496179424622594</v>
      </c>
      <c r="O54" s="80">
        <f t="shared" si="9"/>
        <v>0.040558783823443134</v>
      </c>
      <c r="P54" s="80">
        <f aca="true" t="shared" si="10" ref="P54:Q62">Q9/P9-1</f>
        <v>0.014981949458483745</v>
      </c>
      <c r="Q54" s="80">
        <f t="shared" si="10"/>
        <v>0.04074782144762579</v>
      </c>
      <c r="R54" s="134">
        <f aca="true" t="shared" si="11" ref="R54:S62">S9/R9-1</f>
        <v>0.15059700536130038</v>
      </c>
      <c r="S54" s="80">
        <f t="shared" si="11"/>
        <v>-0.1552791571912563</v>
      </c>
      <c r="T54" s="26">
        <f aca="true" t="shared" si="12" ref="T54:T62">X54-1</f>
        <v>0.03480153145470788</v>
      </c>
      <c r="U54" s="13">
        <f aca="true" t="shared" si="13" ref="U54:U62">T9/F9</f>
        <v>1.61435438951271</v>
      </c>
      <c r="V54" s="13">
        <f>LN(U54)</f>
        <v>0.47893511793410387</v>
      </c>
      <c r="W54" s="13">
        <f aca="true" t="shared" si="14" ref="W54:W62">V54/14</f>
        <v>0.03420965128100742</v>
      </c>
      <c r="X54" s="13">
        <f>EXP(W54)</f>
        <v>1.0348015314547079</v>
      </c>
      <c r="Y54" s="27">
        <f aca="true" t="shared" si="15" ref="Y54:Y68">X54-1</f>
        <v>0.03480153145470788</v>
      </c>
    </row>
    <row r="55" spans="1:25" s="13" customFormat="1" ht="12.75">
      <c r="A55" s="40"/>
      <c r="B55" s="40" t="s">
        <v>3</v>
      </c>
      <c r="C55" s="40"/>
      <c r="D55" s="40"/>
      <c r="E55" s="55"/>
      <c r="F55" s="80">
        <f t="shared" si="9"/>
        <v>0.03572807678870227</v>
      </c>
      <c r="G55" s="80">
        <f t="shared" si="9"/>
        <v>0.04614210133863583</v>
      </c>
      <c r="H55" s="80">
        <f t="shared" si="9"/>
        <v>0.04218922358930843</v>
      </c>
      <c r="I55" s="80">
        <f t="shared" si="9"/>
        <v>0.01581149956848127</v>
      </c>
      <c r="J55" s="80">
        <f t="shared" si="9"/>
        <v>0.04640761758199474</v>
      </c>
      <c r="K55" s="80">
        <f t="shared" si="9"/>
        <v>0.09936118387793558</v>
      </c>
      <c r="L55" s="80">
        <f t="shared" si="9"/>
        <v>0.011245349274695782</v>
      </c>
      <c r="M55" s="80">
        <f t="shared" si="9"/>
        <v>0.0636213311285656</v>
      </c>
      <c r="N55" s="80">
        <f t="shared" si="9"/>
        <v>0.05962143884332849</v>
      </c>
      <c r="O55" s="80">
        <f t="shared" si="9"/>
        <v>0.044993825575566415</v>
      </c>
      <c r="P55" s="80">
        <f t="shared" si="10"/>
        <v>0.016286606839906792</v>
      </c>
      <c r="Q55" s="80">
        <f t="shared" si="10"/>
        <v>0.03997190914219262</v>
      </c>
      <c r="R55" s="134">
        <f t="shared" si="11"/>
        <v>0.15611127716338435</v>
      </c>
      <c r="S55" s="80">
        <f t="shared" si="11"/>
        <v>-0.16123904821180635</v>
      </c>
      <c r="T55" s="26">
        <f t="shared" si="12"/>
        <v>0.03463513484060332</v>
      </c>
      <c r="U55" s="13">
        <f t="shared" si="13"/>
        <v>1.6107239394663773</v>
      </c>
      <c r="V55" s="13">
        <f aca="true" t="shared" si="16" ref="V55:V68">LN(U55)</f>
        <v>0.4766837297757466</v>
      </c>
      <c r="W55" s="13">
        <f t="shared" si="14"/>
        <v>0.03404883784112476</v>
      </c>
      <c r="X55" s="13">
        <f aca="true" t="shared" si="17" ref="X55:X68">EXP(W55)</f>
        <v>1.0346351348406033</v>
      </c>
      <c r="Y55" s="27">
        <f t="shared" si="15"/>
        <v>0.03463513484060332</v>
      </c>
    </row>
    <row r="56" spans="1:25" s="13" customFormat="1" ht="12.75">
      <c r="A56" s="40"/>
      <c r="B56" s="144" t="s">
        <v>42</v>
      </c>
      <c r="C56" s="149"/>
      <c r="D56" s="40"/>
      <c r="E56" s="55"/>
      <c r="F56" s="80">
        <f t="shared" si="9"/>
        <v>0.19246231155778903</v>
      </c>
      <c r="G56" s="80">
        <f t="shared" si="9"/>
        <v>0.10703750526759381</v>
      </c>
      <c r="H56" s="80">
        <f t="shared" si="9"/>
        <v>-0.011419870574800206</v>
      </c>
      <c r="I56" s="80">
        <f t="shared" si="9"/>
        <v>0.12668463611859848</v>
      </c>
      <c r="J56" s="80">
        <f t="shared" si="9"/>
        <v>0.02665755297334238</v>
      </c>
      <c r="K56" s="80">
        <f t="shared" si="9"/>
        <v>0.07290279627163776</v>
      </c>
      <c r="L56" s="80">
        <f t="shared" si="9"/>
        <v>0.03257834315854802</v>
      </c>
      <c r="M56" s="80">
        <f t="shared" si="9"/>
        <v>0.06971153846153855</v>
      </c>
      <c r="N56" s="80">
        <f t="shared" si="9"/>
        <v>-0.046067415730337125</v>
      </c>
      <c r="O56" s="80">
        <f t="shared" si="9"/>
        <v>-0.06625441696113077</v>
      </c>
      <c r="P56" s="80">
        <f t="shared" si="10"/>
        <v>-0.020182907600126088</v>
      </c>
      <c r="Q56" s="80">
        <f t="shared" si="10"/>
        <v>0.06243965239781146</v>
      </c>
      <c r="R56" s="134">
        <f t="shared" si="11"/>
        <v>-0.00030293850348384055</v>
      </c>
      <c r="S56" s="80">
        <f t="shared" si="11"/>
        <v>0.03333333333333344</v>
      </c>
      <c r="T56" s="26">
        <f t="shared" si="12"/>
        <v>0.039219377053337556</v>
      </c>
      <c r="U56" s="13">
        <f t="shared" si="13"/>
        <v>1.7135678391959799</v>
      </c>
      <c r="V56" s="13">
        <f t="shared" si="16"/>
        <v>0.5385776525590243</v>
      </c>
      <c r="W56" s="13">
        <f t="shared" si="14"/>
        <v>0.0384698323256446</v>
      </c>
      <c r="X56" s="13">
        <f t="shared" si="17"/>
        <v>1.0392193770533376</v>
      </c>
      <c r="Y56" s="27">
        <f t="shared" si="15"/>
        <v>0.039219377053337556</v>
      </c>
    </row>
    <row r="57" spans="1:25" ht="12.75">
      <c r="A57" s="46" t="s">
        <v>5</v>
      </c>
      <c r="B57" s="46"/>
      <c r="C57" s="46"/>
      <c r="D57" s="46"/>
      <c r="E57" s="55"/>
      <c r="F57" s="80">
        <f t="shared" si="9"/>
        <v>0.12409080890456248</v>
      </c>
      <c r="G57" s="80">
        <f t="shared" si="9"/>
        <v>0.06547058823529417</v>
      </c>
      <c r="H57" s="80">
        <f t="shared" si="9"/>
        <v>0.08176447855131674</v>
      </c>
      <c r="I57" s="80">
        <f t="shared" si="9"/>
        <v>0.07988840121125507</v>
      </c>
      <c r="J57" s="80">
        <f t="shared" si="9"/>
        <v>0.006380163206150202</v>
      </c>
      <c r="K57" s="80">
        <f t="shared" si="9"/>
        <v>0.030258441212842158</v>
      </c>
      <c r="L57" s="80">
        <f t="shared" si="9"/>
        <v>0.02213747417041456</v>
      </c>
      <c r="M57" s="80">
        <f t="shared" si="9"/>
        <v>0.02231207170781735</v>
      </c>
      <c r="N57" s="80">
        <f t="shared" si="9"/>
        <v>0.07479570768022792</v>
      </c>
      <c r="O57" s="80">
        <f t="shared" si="9"/>
        <v>0.07014529613896481</v>
      </c>
      <c r="P57" s="80">
        <f t="shared" si="10"/>
        <v>0.09176643110880756</v>
      </c>
      <c r="Q57" s="80">
        <f t="shared" si="10"/>
        <v>0.08702901739190838</v>
      </c>
      <c r="R57" s="134">
        <f t="shared" si="11"/>
        <v>0.044973263171349975</v>
      </c>
      <c r="S57" s="80">
        <f t="shared" si="11"/>
        <v>-0.04341488277268091</v>
      </c>
      <c r="T57" s="26">
        <f t="shared" si="12"/>
        <v>0.05328175301486393</v>
      </c>
      <c r="U57" s="13">
        <f t="shared" si="13"/>
        <v>2.068349129380648</v>
      </c>
      <c r="V57" s="13">
        <f t="shared" si="16"/>
        <v>0.7267507670490557</v>
      </c>
      <c r="W57" s="13">
        <f t="shared" si="14"/>
        <v>0.05191076907493255</v>
      </c>
      <c r="X57" s="13">
        <f t="shared" si="17"/>
        <v>1.053281753014864</v>
      </c>
      <c r="Y57" s="27">
        <f t="shared" si="15"/>
        <v>0.05328175301486393</v>
      </c>
    </row>
    <row r="58" spans="1:25" ht="12.75">
      <c r="A58" s="46"/>
      <c r="B58" s="46" t="s">
        <v>6</v>
      </c>
      <c r="C58" s="46"/>
      <c r="D58" s="46"/>
      <c r="E58" s="55"/>
      <c r="F58" s="80">
        <f t="shared" si="9"/>
        <v>0.0924853890258428</v>
      </c>
      <c r="G58" s="80">
        <f t="shared" si="9"/>
        <v>0.040591247908321026</v>
      </c>
      <c r="H58" s="80">
        <f t="shared" si="9"/>
        <v>-0.0038008917476792803</v>
      </c>
      <c r="I58" s="80">
        <f t="shared" si="9"/>
        <v>0.05048059285347417</v>
      </c>
      <c r="J58" s="80">
        <f t="shared" si="9"/>
        <v>-0.0524784056250146</v>
      </c>
      <c r="K58" s="80">
        <f t="shared" si="9"/>
        <v>0.027667887067842845</v>
      </c>
      <c r="L58" s="80">
        <f t="shared" si="9"/>
        <v>0.015063481816225632</v>
      </c>
      <c r="M58" s="80">
        <f t="shared" si="9"/>
        <v>0.0058181989494263675</v>
      </c>
      <c r="N58" s="80">
        <f t="shared" si="9"/>
        <v>0.08295081967213114</v>
      </c>
      <c r="O58" s="80">
        <f t="shared" si="9"/>
        <v>0.00988279053674157</v>
      </c>
      <c r="P58" s="80">
        <f t="shared" si="10"/>
        <v>0.05353433692370291</v>
      </c>
      <c r="Q58" s="80">
        <f t="shared" si="10"/>
        <v>0.10136384885871674</v>
      </c>
      <c r="R58" s="134">
        <f t="shared" si="11"/>
        <v>0.00012918466024425257</v>
      </c>
      <c r="S58" s="80">
        <f t="shared" si="11"/>
        <v>-0.03638846345468971</v>
      </c>
      <c r="T58" s="26">
        <f t="shared" si="12"/>
        <v>0.026715539511087183</v>
      </c>
      <c r="U58" s="13">
        <f t="shared" si="13"/>
        <v>1.4464448937761405</v>
      </c>
      <c r="V58" s="13">
        <f t="shared" si="16"/>
        <v>0.36910874845959274</v>
      </c>
      <c r="W58" s="13">
        <f t="shared" si="14"/>
        <v>0.026364910604256626</v>
      </c>
      <c r="X58" s="13">
        <f t="shared" si="17"/>
        <v>1.0267155395110872</v>
      </c>
      <c r="Y58" s="27">
        <f t="shared" si="15"/>
        <v>0.026715539511087183</v>
      </c>
    </row>
    <row r="59" spans="1:25" ht="15.75" customHeight="1">
      <c r="A59" s="46"/>
      <c r="B59" s="145" t="s">
        <v>43</v>
      </c>
      <c r="C59" s="145"/>
      <c r="D59" s="46"/>
      <c r="E59" s="66"/>
      <c r="F59" s="115">
        <f t="shared" si="9"/>
        <v>0.29192095321127587</v>
      </c>
      <c r="G59" s="115">
        <f t="shared" si="9"/>
        <v>0.18693060398155437</v>
      </c>
      <c r="H59" s="115">
        <f t="shared" si="9"/>
        <v>0.3763858618402349</v>
      </c>
      <c r="I59" s="115">
        <f t="shared" si="9"/>
        <v>0.11931153184165222</v>
      </c>
      <c r="J59" s="115">
        <f t="shared" si="9"/>
        <v>0.07190306310739336</v>
      </c>
      <c r="K59" s="115">
        <f t="shared" si="9"/>
        <v>-0.03035519596029146</v>
      </c>
      <c r="L59" s="115">
        <f t="shared" si="9"/>
        <v>0.08935968753698664</v>
      </c>
      <c r="M59" s="115">
        <f t="shared" si="9"/>
        <v>0.0836592785745327</v>
      </c>
      <c r="N59" s="115">
        <f t="shared" si="9"/>
        <v>0.0894826549027472</v>
      </c>
      <c r="O59" s="115">
        <f t="shared" si="9"/>
        <v>0.17954263102194812</v>
      </c>
      <c r="P59" s="115">
        <f t="shared" si="10"/>
        <v>0.1986346791496001</v>
      </c>
      <c r="Q59" s="115">
        <f t="shared" si="10"/>
        <v>0.07976698018029738</v>
      </c>
      <c r="R59" s="135">
        <f t="shared" si="11"/>
        <v>0.09325456627885953</v>
      </c>
      <c r="S59" s="115">
        <f t="shared" si="11"/>
        <v>-0.5882774591971769</v>
      </c>
      <c r="T59" s="116">
        <f t="shared" si="12"/>
        <v>0.05689772425320383</v>
      </c>
      <c r="U59" s="13">
        <f t="shared" si="13"/>
        <v>2.170008718395815</v>
      </c>
      <c r="V59" s="13">
        <f t="shared" si="16"/>
        <v>0.7747311852382213</v>
      </c>
      <c r="W59" s="13">
        <f t="shared" si="14"/>
        <v>0.05533794180273009</v>
      </c>
      <c r="X59" s="13">
        <f t="shared" si="17"/>
        <v>1.0568977242532038</v>
      </c>
      <c r="Y59" s="27">
        <f t="shared" si="15"/>
        <v>0.05689772425320383</v>
      </c>
    </row>
    <row r="60" spans="1:25" ht="12.75" customHeight="1">
      <c r="A60" s="46"/>
      <c r="B60" s="145" t="s">
        <v>44</v>
      </c>
      <c r="C60" s="149"/>
      <c r="D60" s="46"/>
      <c r="E60" s="55"/>
      <c r="F60" s="115">
        <f t="shared" si="9"/>
        <v>0.1182389937106918</v>
      </c>
      <c r="G60" s="115">
        <f t="shared" si="9"/>
        <v>0.03149606299212593</v>
      </c>
      <c r="H60" s="115">
        <f t="shared" si="9"/>
        <v>0.22500908760450744</v>
      </c>
      <c r="I60" s="115">
        <f t="shared" si="9"/>
        <v>0.26676557863501493</v>
      </c>
      <c r="J60" s="115">
        <f t="shared" si="9"/>
        <v>0.3490278753806513</v>
      </c>
      <c r="K60" s="115">
        <f t="shared" si="9"/>
        <v>0.2319847195693696</v>
      </c>
      <c r="L60" s="115">
        <f t="shared" si="9"/>
        <v>-0.09626497533474276</v>
      </c>
      <c r="M60" s="115">
        <f t="shared" si="9"/>
        <v>-0.044603867747972537</v>
      </c>
      <c r="N60" s="115">
        <f>O15/N15-1</f>
        <v>-0.029872673849167475</v>
      </c>
      <c r="O60" s="115">
        <f>P15/O15-1</f>
        <v>0.13898704358068326</v>
      </c>
      <c r="P60" s="115">
        <f t="shared" si="10"/>
        <v>-0.0491948589156449</v>
      </c>
      <c r="Q60" s="115">
        <f t="shared" si="10"/>
        <v>0.01211932877563715</v>
      </c>
      <c r="R60" s="135">
        <f t="shared" si="11"/>
        <v>0.17209088117899918</v>
      </c>
      <c r="S60" s="115">
        <f t="shared" si="11"/>
        <v>2.495350360183366</v>
      </c>
      <c r="T60" s="116">
        <f t="shared" si="12"/>
        <v>0.18826990504682017</v>
      </c>
      <c r="U60" s="13">
        <f t="shared" si="13"/>
        <v>11.189517819706499</v>
      </c>
      <c r="V60" s="13">
        <f t="shared" si="16"/>
        <v>2.414977431110032</v>
      </c>
      <c r="W60" s="13">
        <f t="shared" si="14"/>
        <v>0.17249838793643085</v>
      </c>
      <c r="X60" s="13">
        <f t="shared" si="17"/>
        <v>1.1882699050468202</v>
      </c>
      <c r="Y60" s="27">
        <f t="shared" si="15"/>
        <v>0.18826990504682017</v>
      </c>
    </row>
    <row r="61" spans="1:25" ht="14.25" customHeight="1">
      <c r="A61" s="46" t="s">
        <v>45</v>
      </c>
      <c r="B61" s="46"/>
      <c r="C61" s="46"/>
      <c r="D61" s="46"/>
      <c r="E61" s="66"/>
      <c r="F61" s="115">
        <f t="shared" si="9"/>
        <v>0.1297576260252511</v>
      </c>
      <c r="G61" s="115">
        <f t="shared" si="9"/>
        <v>0.07847295864262982</v>
      </c>
      <c r="H61" s="80">
        <f t="shared" si="9"/>
        <v>0.15384615384615374</v>
      </c>
      <c r="I61" s="80">
        <f t="shared" si="9"/>
        <v>0.07597509013438208</v>
      </c>
      <c r="J61" s="80">
        <f t="shared" si="9"/>
        <v>0.05440477641038144</v>
      </c>
      <c r="K61" s="80">
        <f t="shared" si="9"/>
        <v>0.06332697752354544</v>
      </c>
      <c r="L61" s="80">
        <f t="shared" si="9"/>
        <v>0.06026191381839907</v>
      </c>
      <c r="M61" s="80">
        <f t="shared" si="9"/>
        <v>0.07011070110701101</v>
      </c>
      <c r="N61" s="80">
        <f t="shared" si="9"/>
        <v>0.06546934865900389</v>
      </c>
      <c r="O61" s="80">
        <f t="shared" si="9"/>
        <v>0.036364453634197824</v>
      </c>
      <c r="P61" s="80">
        <f t="shared" si="10"/>
        <v>0.11133761276891052</v>
      </c>
      <c r="Q61" s="80">
        <f t="shared" si="10"/>
        <v>0.07825000975685903</v>
      </c>
      <c r="R61" s="134">
        <f t="shared" si="11"/>
        <v>0.054473722310699246</v>
      </c>
      <c r="S61" s="80">
        <f t="shared" si="11"/>
        <v>-0.010469227336697196</v>
      </c>
      <c r="T61" s="26">
        <f t="shared" si="12"/>
        <v>0.07228526792534895</v>
      </c>
      <c r="U61" s="13">
        <f t="shared" si="13"/>
        <v>2.656713666943139</v>
      </c>
      <c r="V61" s="13">
        <f t="shared" si="16"/>
        <v>0.9770898954241239</v>
      </c>
      <c r="W61" s="13">
        <f t="shared" si="14"/>
        <v>0.06979213538743742</v>
      </c>
      <c r="X61" s="13">
        <f t="shared" si="17"/>
        <v>1.072285267925349</v>
      </c>
      <c r="Y61" s="27">
        <f t="shared" si="15"/>
        <v>0.07228526792534895</v>
      </c>
    </row>
    <row r="62" spans="1:25" ht="12.75">
      <c r="A62" s="46" t="s">
        <v>46</v>
      </c>
      <c r="B62" s="46"/>
      <c r="C62" s="46"/>
      <c r="D62" s="46"/>
      <c r="E62" s="66"/>
      <c r="F62" s="115">
        <f t="shared" si="9"/>
        <v>-0.06824247045367904</v>
      </c>
      <c r="G62" s="115">
        <f t="shared" si="9"/>
        <v>0.06014729950900155</v>
      </c>
      <c r="H62" s="80">
        <f t="shared" si="9"/>
        <v>0.13739868776534148</v>
      </c>
      <c r="I62" s="80">
        <f t="shared" si="9"/>
        <v>0.058703766542246294</v>
      </c>
      <c r="J62" s="80">
        <f t="shared" si="9"/>
        <v>-0.029487179487179493</v>
      </c>
      <c r="K62" s="80">
        <f t="shared" si="9"/>
        <v>-0.17437252311756934</v>
      </c>
      <c r="L62" s="80">
        <f t="shared" si="9"/>
        <v>0.1783999999999999</v>
      </c>
      <c r="M62" s="80">
        <f t="shared" si="9"/>
        <v>0.06279701289884598</v>
      </c>
      <c r="N62" s="80">
        <f t="shared" si="9"/>
        <v>0.25742574257425743</v>
      </c>
      <c r="O62" s="80">
        <f t="shared" si="9"/>
        <v>0.08991617983235956</v>
      </c>
      <c r="P62" s="80">
        <f t="shared" si="10"/>
        <v>0.4271731531111629</v>
      </c>
      <c r="Q62" s="80">
        <f t="shared" si="10"/>
        <v>0.3158066623122142</v>
      </c>
      <c r="R62" s="134">
        <f t="shared" si="11"/>
        <v>0.005212211466865124</v>
      </c>
      <c r="S62" s="80">
        <f t="shared" si="11"/>
        <v>-0.02777777777777779</v>
      </c>
      <c r="T62" s="26">
        <f t="shared" si="12"/>
        <v>0.08169228879444024</v>
      </c>
      <c r="U62" s="13">
        <f t="shared" si="13"/>
        <v>3.002287457110179</v>
      </c>
      <c r="V62" s="13">
        <f t="shared" si="16"/>
        <v>1.0993744838269601</v>
      </c>
      <c r="W62" s="13">
        <f t="shared" si="14"/>
        <v>0.07852674884478286</v>
      </c>
      <c r="X62" s="13">
        <f t="shared" si="17"/>
        <v>1.0816922887944402</v>
      </c>
      <c r="Y62" s="27">
        <f t="shared" si="15"/>
        <v>0.08169228879444024</v>
      </c>
    </row>
    <row r="63" spans="1:25" ht="12.75">
      <c r="A63" s="46" t="s">
        <v>47</v>
      </c>
      <c r="B63" s="46"/>
      <c r="C63" s="46"/>
      <c r="D63" s="46"/>
      <c r="E63" s="55"/>
      <c r="F63" s="115">
        <f t="shared" si="9"/>
        <v>0.6379310344827587</v>
      </c>
      <c r="G63" s="115">
        <f t="shared" si="9"/>
        <v>-0.14273684210526316</v>
      </c>
      <c r="H63" s="80">
        <f t="shared" si="9"/>
        <v>-0.4860019646365422</v>
      </c>
      <c r="I63" s="80">
        <f t="shared" si="9"/>
        <v>-0.8088867654085046</v>
      </c>
      <c r="J63" s="80"/>
      <c r="K63" s="80"/>
      <c r="L63" s="80"/>
      <c r="M63" s="80"/>
      <c r="N63" s="80"/>
      <c r="O63" s="80"/>
      <c r="P63" s="80"/>
      <c r="Q63" s="80"/>
      <c r="R63" s="134"/>
      <c r="T63" s="26"/>
      <c r="U63" s="13"/>
      <c r="V63" s="13"/>
      <c r="W63" s="13"/>
      <c r="X63" s="13"/>
      <c r="Y63" s="27"/>
    </row>
    <row r="64" spans="1:25" ht="12.75">
      <c r="A64" s="46" t="s">
        <v>48</v>
      </c>
      <c r="B64" s="46"/>
      <c r="C64" s="46"/>
      <c r="D64" s="46"/>
      <c r="E64" s="58"/>
      <c r="F64" s="115">
        <f t="shared" si="9"/>
        <v>-0.039911308203991136</v>
      </c>
      <c r="G64" s="115">
        <f t="shared" si="9"/>
        <v>0.022517321016166214</v>
      </c>
      <c r="H64" s="80">
        <f t="shared" si="9"/>
        <v>0.11744776962168268</v>
      </c>
      <c r="I64" s="80">
        <f t="shared" si="9"/>
        <v>0.08489135927235969</v>
      </c>
      <c r="J64" s="80">
        <f t="shared" si="9"/>
        <v>0.0023288309268747476</v>
      </c>
      <c r="K64" s="80">
        <f>L19/K19-1</f>
        <v>0.0367100371747211</v>
      </c>
      <c r="L64" s="80">
        <f>M19/L19-1</f>
        <v>0.02510085163603759</v>
      </c>
      <c r="M64" s="80">
        <f aca="true" t="shared" si="18" ref="M64:O65">N19/M19-1</f>
        <v>-0.07608220376038477</v>
      </c>
      <c r="N64" s="80">
        <f t="shared" si="18"/>
        <v>0.14245149077141495</v>
      </c>
      <c r="O64" s="80">
        <f t="shared" si="18"/>
        <v>0.09486329743164879</v>
      </c>
      <c r="P64" s="80">
        <f aca="true" t="shared" si="19" ref="P64:Q68">Q19/P19-1</f>
        <v>0.012864169504351208</v>
      </c>
      <c r="Q64" s="80">
        <f t="shared" si="19"/>
        <v>0.02726933134105347</v>
      </c>
      <c r="R64" s="134">
        <f aca="true" t="shared" si="20" ref="R64:S68">S19/R19-1</f>
        <v>0.05454545454545445</v>
      </c>
      <c r="S64" s="80">
        <f t="shared" si="20"/>
        <v>0.008620689655172376</v>
      </c>
      <c r="T64" s="94">
        <f>X64-1</f>
        <v>0.035123326488089246</v>
      </c>
      <c r="U64" s="13">
        <f>T19/F19</f>
        <v>1.6213968957871396</v>
      </c>
      <c r="V64" s="13">
        <f t="shared" si="16"/>
        <v>0.48328805904338784</v>
      </c>
      <c r="W64" s="13">
        <f>V64/14</f>
        <v>0.03452057564595627</v>
      </c>
      <c r="X64" s="13">
        <f t="shared" si="17"/>
        <v>1.0351233264880892</v>
      </c>
      <c r="Y64" s="27">
        <f t="shared" si="15"/>
        <v>0.035123326488089246</v>
      </c>
    </row>
    <row r="65" spans="1:25" s="11" customFormat="1" ht="12.75">
      <c r="A65" s="68" t="s">
        <v>49</v>
      </c>
      <c r="B65" s="68"/>
      <c r="C65" s="68"/>
      <c r="D65" s="68"/>
      <c r="E65" s="55"/>
      <c r="F65" s="118">
        <f t="shared" si="9"/>
        <v>0.06364297543835051</v>
      </c>
      <c r="G65" s="118">
        <f t="shared" si="9"/>
        <v>0.06605483424504044</v>
      </c>
      <c r="H65" s="81">
        <f t="shared" si="9"/>
        <v>0.0886848734950001</v>
      </c>
      <c r="I65" s="81">
        <f t="shared" si="9"/>
        <v>0.06522665000922778</v>
      </c>
      <c r="J65" s="81">
        <f t="shared" si="9"/>
        <v>0.03054635596100419</v>
      </c>
      <c r="K65" s="81">
        <f>L20/K20-1</f>
        <v>0.060038409062987075</v>
      </c>
      <c r="L65" s="81">
        <f>M20/L20-1</f>
        <v>0.024277766933437528</v>
      </c>
      <c r="M65" s="81">
        <f t="shared" si="18"/>
        <v>0.04602896686438451</v>
      </c>
      <c r="N65" s="81">
        <f t="shared" si="18"/>
        <v>0.06863844686726073</v>
      </c>
      <c r="O65" s="81">
        <f t="shared" si="18"/>
        <v>0.05344670513209837</v>
      </c>
      <c r="P65" s="81">
        <f t="shared" si="19"/>
        <v>0.06585142591272075</v>
      </c>
      <c r="Q65" s="81">
        <f t="shared" si="19"/>
        <v>0.0720935308463897</v>
      </c>
      <c r="R65" s="136">
        <f t="shared" si="20"/>
        <v>0.0886044576628251</v>
      </c>
      <c r="S65" s="81">
        <f t="shared" si="20"/>
        <v>-0.08738128537045464</v>
      </c>
      <c r="T65" s="26">
        <f>X65-1</f>
        <v>0.04950832178044284</v>
      </c>
      <c r="U65" s="13">
        <f>T20/F20</f>
        <v>1.9669911760324568</v>
      </c>
      <c r="V65" s="13">
        <f t="shared" si="16"/>
        <v>0.6765050533940418</v>
      </c>
      <c r="W65" s="13">
        <f>V65/14</f>
        <v>0.04832178952814584</v>
      </c>
      <c r="X65" s="13">
        <f t="shared" si="17"/>
        <v>1.0495083217804428</v>
      </c>
      <c r="Y65" s="27">
        <f t="shared" si="15"/>
        <v>0.04950832178044284</v>
      </c>
    </row>
    <row r="66" spans="1:25" s="11" customFormat="1" ht="12.75">
      <c r="A66" s="39" t="s">
        <v>50</v>
      </c>
      <c r="B66" s="39"/>
      <c r="C66" s="39"/>
      <c r="D66" s="39"/>
      <c r="E66" s="58"/>
      <c r="F66" s="119">
        <f t="shared" si="9"/>
        <v>0.06562004527416532</v>
      </c>
      <c r="G66" s="119">
        <f t="shared" si="9"/>
        <v>0.06697169592252705</v>
      </c>
      <c r="H66" s="59">
        <f t="shared" si="9"/>
        <v>0.08464452684185075</v>
      </c>
      <c r="I66" s="59">
        <f t="shared" si="9"/>
        <v>0.060322084407814947</v>
      </c>
      <c r="J66" s="59">
        <f t="shared" si="9"/>
        <v>0.022330001822285173</v>
      </c>
      <c r="K66" s="59">
        <f t="shared" si="9"/>
        <v>0.05811577908188448</v>
      </c>
      <c r="L66" s="59">
        <f t="shared" si="9"/>
        <v>0.027322616803052924</v>
      </c>
      <c r="M66" s="59">
        <f t="shared" si="9"/>
        <v>0.04938256032492849</v>
      </c>
      <c r="N66" s="82">
        <f t="shared" si="9"/>
        <v>0.06871288794865005</v>
      </c>
      <c r="O66" s="82">
        <f t="shared" si="9"/>
        <v>0.049780397140945176</v>
      </c>
      <c r="P66" s="82">
        <f t="shared" si="19"/>
        <v>0.0617175488688777</v>
      </c>
      <c r="Q66" s="82">
        <f t="shared" si="19"/>
        <v>0.0665105906334198</v>
      </c>
      <c r="R66" s="137">
        <f t="shared" si="20"/>
        <v>0.08921069563242745</v>
      </c>
      <c r="S66" s="59">
        <f t="shared" si="20"/>
        <v>-0.17512693662507117</v>
      </c>
      <c r="T66" s="94">
        <f>X66-1</f>
        <v>0.04037833506880695</v>
      </c>
      <c r="U66" s="13">
        <f>T21/F21</f>
        <v>1.74051671203248</v>
      </c>
      <c r="V66" s="13">
        <f t="shared" si="16"/>
        <v>0.5541820300804725</v>
      </c>
      <c r="W66" s="13">
        <f>V66/14</f>
        <v>0.03958443072003375</v>
      </c>
      <c r="X66" s="13">
        <f t="shared" si="17"/>
        <v>1.040378335068807</v>
      </c>
      <c r="Y66" s="27">
        <f t="shared" si="15"/>
        <v>0.04037833506880695</v>
      </c>
    </row>
    <row r="67" spans="1:25" ht="13.5" customHeight="1">
      <c r="A67" s="83" t="s">
        <v>70</v>
      </c>
      <c r="B67" s="147" t="s">
        <v>71</v>
      </c>
      <c r="C67" s="148"/>
      <c r="D67" s="40"/>
      <c r="E67" s="55"/>
      <c r="F67" s="117">
        <f t="shared" si="9"/>
        <v>0.027598886474604845</v>
      </c>
      <c r="G67" s="117">
        <f t="shared" si="9"/>
        <v>0.04298308496825709</v>
      </c>
      <c r="H67" s="117">
        <f t="shared" si="9"/>
        <v>0.045944577475266035</v>
      </c>
      <c r="I67" s="117">
        <f t="shared" si="9"/>
        <v>0.040551603933086655</v>
      </c>
      <c r="J67" s="117">
        <f>K22/J22-1</f>
        <v>0.017243782907746308</v>
      </c>
      <c r="K67" s="117">
        <f t="shared" si="9"/>
        <v>0.033316190509653065</v>
      </c>
      <c r="L67" s="117">
        <f t="shared" si="9"/>
        <v>-0.005496014711468766</v>
      </c>
      <c r="M67" s="117">
        <f>N22/M22-1</f>
        <v>0.012917529271166295</v>
      </c>
      <c r="N67" s="117">
        <f>O22/N22-1</f>
        <v>0.03457201156694145</v>
      </c>
      <c r="O67" s="117">
        <f t="shared" si="9"/>
        <v>-0.0021098886492919577</v>
      </c>
      <c r="P67" s="117">
        <f t="shared" si="19"/>
        <v>0.021864820855513</v>
      </c>
      <c r="Q67" s="117">
        <f t="shared" si="19"/>
        <v>0.018634757051976925</v>
      </c>
      <c r="R67" s="135">
        <f t="shared" si="20"/>
        <v>0.017003450637187223</v>
      </c>
      <c r="S67" s="115">
        <f t="shared" si="20"/>
        <v>-0.2068442490028637</v>
      </c>
      <c r="T67" s="116">
        <f>X67-1</f>
        <v>0.004888185967516279</v>
      </c>
      <c r="U67" s="13">
        <f>T22/F22</f>
        <v>1.070652082863084</v>
      </c>
      <c r="V67" s="13">
        <f t="shared" si="16"/>
        <v>0.06826788608741285</v>
      </c>
      <c r="W67" s="13">
        <f>V67/14</f>
        <v>0.004876277577672347</v>
      </c>
      <c r="X67" s="13">
        <f t="shared" si="17"/>
        <v>1.0048881859675163</v>
      </c>
      <c r="Y67" s="27">
        <f t="shared" si="15"/>
        <v>0.004888185967516279</v>
      </c>
    </row>
    <row r="68" spans="1:25" ht="14.25" customHeight="1">
      <c r="A68" s="84" t="s">
        <v>51</v>
      </c>
      <c r="B68" s="39"/>
      <c r="C68" s="39"/>
      <c r="D68" s="39"/>
      <c r="E68" s="58"/>
      <c r="F68" s="119">
        <f t="shared" si="9"/>
        <v>0.022145950089293986</v>
      </c>
      <c r="G68" s="119">
        <f t="shared" si="9"/>
        <v>0.03992049945296405</v>
      </c>
      <c r="H68" s="59">
        <f t="shared" si="9"/>
        <v>0.041831020540536334</v>
      </c>
      <c r="I68" s="59">
        <f t="shared" si="9"/>
        <v>0.03475576592261986</v>
      </c>
      <c r="J68" s="59">
        <f t="shared" si="9"/>
        <v>0.011202313593113189</v>
      </c>
      <c r="K68" s="59">
        <f t="shared" si="9"/>
        <v>0.027188184189338438</v>
      </c>
      <c r="L68" s="59">
        <f t="shared" si="9"/>
        <v>-0.010892313941045284</v>
      </c>
      <c r="M68" s="59">
        <f t="shared" si="9"/>
        <v>0.007923124519997105</v>
      </c>
      <c r="N68" s="59">
        <f t="shared" si="9"/>
        <v>0.029212282873648743</v>
      </c>
      <c r="O68" s="59">
        <f t="shared" si="9"/>
        <v>-0.007731153825457304</v>
      </c>
      <c r="P68" s="59">
        <f t="shared" si="19"/>
        <v>0.015490419437232283</v>
      </c>
      <c r="Q68" s="59">
        <f t="shared" si="19"/>
        <v>0.011090690901681466</v>
      </c>
      <c r="R68" s="137">
        <f t="shared" si="20"/>
        <v>0.01137151780735679</v>
      </c>
      <c r="S68" s="59">
        <f t="shared" si="20"/>
        <v>-0.2106240524535824</v>
      </c>
      <c r="T68" s="94">
        <f>X68-1</f>
        <v>-0.00047650284570621704</v>
      </c>
      <c r="U68" s="13">
        <f>T23/F23</f>
        <v>0.9933495828311987</v>
      </c>
      <c r="V68" s="13">
        <f t="shared" si="16"/>
        <v>-0.006672629729698315</v>
      </c>
      <c r="W68" s="13">
        <f>V68/14</f>
        <v>-0.0004766164092641654</v>
      </c>
      <c r="X68" s="13">
        <f t="shared" si="17"/>
        <v>0.9995234971542938</v>
      </c>
      <c r="Y68" s="27">
        <f t="shared" si="15"/>
        <v>-0.00047650284570621704</v>
      </c>
    </row>
    <row r="69" spans="1:15" ht="12" customHeight="1">
      <c r="A69" s="44" t="s">
        <v>61</v>
      </c>
      <c r="B69" s="17"/>
      <c r="C69" s="17"/>
      <c r="D69" s="21"/>
      <c r="E69" s="18"/>
      <c r="F69" s="17"/>
      <c r="G69" s="6"/>
      <c r="H69" s="6"/>
      <c r="I69" s="6"/>
      <c r="J69" s="6"/>
      <c r="K69" s="6"/>
      <c r="L69" s="6"/>
      <c r="M69" s="6"/>
      <c r="N69" s="6"/>
      <c r="O69" s="6"/>
    </row>
    <row r="70" spans="1:6" ht="12.75" customHeight="1">
      <c r="A70" s="89"/>
      <c r="B70" s="21"/>
      <c r="C70" s="23"/>
      <c r="D70" s="23"/>
      <c r="E70" s="24"/>
      <c r="F70" s="22"/>
    </row>
    <row r="71" spans="1:4" ht="7.5" customHeight="1">
      <c r="A71" s="29"/>
      <c r="B71" s="15"/>
      <c r="C71" s="29"/>
      <c r="D71" s="30"/>
    </row>
    <row r="72" spans="1:14" ht="18.75">
      <c r="A72" s="8"/>
      <c r="B72" s="31"/>
      <c r="C72" s="31"/>
      <c r="D72" s="31"/>
      <c r="E72" s="32"/>
      <c r="F72" s="31"/>
      <c r="G72" s="31"/>
      <c r="H72" s="31"/>
      <c r="I72" s="31"/>
      <c r="J72" s="31"/>
      <c r="K72" s="31"/>
      <c r="L72" s="31"/>
      <c r="M72" s="31"/>
      <c r="N72" s="31"/>
    </row>
    <row r="73" spans="2:14" ht="12.75">
      <c r="B73" s="29"/>
      <c r="C73" s="29"/>
      <c r="D73" s="29"/>
      <c r="E73" s="33"/>
      <c r="F73" s="29"/>
      <c r="G73" s="29"/>
      <c r="H73" s="29"/>
      <c r="I73" s="29"/>
      <c r="J73" s="29"/>
      <c r="K73" s="29"/>
      <c r="L73" s="29"/>
      <c r="M73" s="29"/>
      <c r="N73" s="29"/>
    </row>
    <row r="75" spans="1:16" s="11" customFormat="1" ht="12.75">
      <c r="A75" s="13"/>
      <c r="B75" s="13"/>
      <c r="C75" s="13"/>
      <c r="D75" s="13"/>
      <c r="E75" s="34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</row>
    <row r="76" spans="1:5" ht="12.75">
      <c r="A76" s="5"/>
      <c r="E76" s="35"/>
    </row>
    <row r="77" spans="1:16" s="31" customFormat="1" ht="18.75">
      <c r="A77" s="36"/>
      <c r="B77" s="1"/>
      <c r="C77" s="1"/>
      <c r="D77" s="1"/>
      <c r="E77" s="2"/>
      <c r="F77" s="1"/>
      <c r="G77" s="1"/>
      <c r="H77" s="1"/>
      <c r="I77" s="1"/>
      <c r="J77" s="1"/>
      <c r="K77" s="1"/>
      <c r="L77" s="1"/>
      <c r="M77" s="1"/>
      <c r="N77" s="1"/>
      <c r="P77" s="3"/>
    </row>
    <row r="78" spans="1:16" s="29" customFormat="1" ht="12.75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P78" s="3"/>
    </row>
    <row r="79" spans="5:16" s="11" customFormat="1" ht="12.75">
      <c r="E79" s="2"/>
      <c r="P79" s="14"/>
    </row>
    <row r="80" spans="1:24" s="13" customFormat="1" ht="12.75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3"/>
      <c r="Q80" s="1"/>
      <c r="R80" s="1"/>
      <c r="S80" s="1"/>
      <c r="T80" s="1"/>
      <c r="U80" s="1"/>
      <c r="V80" s="1"/>
      <c r="W80" s="1"/>
      <c r="X80" s="1"/>
    </row>
  </sheetData>
  <mergeCells count="12">
    <mergeCell ref="A20:C20"/>
    <mergeCell ref="B21:C21"/>
    <mergeCell ref="B40:C40"/>
    <mergeCell ref="B67:C67"/>
    <mergeCell ref="B43:C43"/>
    <mergeCell ref="B56:C56"/>
    <mergeCell ref="B59:C59"/>
    <mergeCell ref="B60:C60"/>
    <mergeCell ref="A3:R3"/>
    <mergeCell ref="B11:C11"/>
    <mergeCell ref="B14:C14"/>
    <mergeCell ref="B15:C15"/>
  </mergeCells>
  <printOptions/>
  <pageMargins left="0.7874015748031497" right="0.39" top="0.984251968503937" bottom="0.984251968503937" header="0.5118110236220472" footer="0.5118110236220472"/>
  <pageSetup firstPageNumber="48" useFirstPageNumber="1" horizontalDpi="600" verticalDpi="6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Toril F. Pedersen</dc:creator>
  <cp:keywords/>
  <dc:description/>
  <cp:lastModifiedBy>mersa.delalic</cp:lastModifiedBy>
  <cp:lastPrinted>2002-03-12T09:27:49Z</cp:lastPrinted>
  <dcterms:created xsi:type="dcterms:W3CDTF">1999-02-10T13:49:48Z</dcterms:created>
  <dcterms:modified xsi:type="dcterms:W3CDTF">2002-03-12T09:29:31Z</dcterms:modified>
  <cp:category/>
  <cp:version/>
  <cp:contentType/>
  <cp:contentStatus/>
</cp:coreProperties>
</file>