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d10958\Desktop\"/>
    </mc:Choice>
  </mc:AlternateContent>
  <workbookProtection lockStructure="1"/>
  <bookViews>
    <workbookView xWindow="0" yWindow="0" windowWidth="28800" windowHeight="1170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4" i="1" l="1"/>
  <c r="W64" i="1" s="1"/>
  <c r="S64" i="1"/>
  <c r="P64" i="1"/>
  <c r="O63" i="1" s="1"/>
  <c r="O64" i="1" s="1"/>
  <c r="Q64" i="1" s="1"/>
  <c r="M64" i="1"/>
  <c r="L63" i="1" s="1"/>
  <c r="L64" i="1" s="1"/>
  <c r="N64" i="1" s="1"/>
  <c r="D64" i="1"/>
  <c r="C63" i="1" s="1"/>
  <c r="C64" i="1" s="1"/>
  <c r="E64" i="1" s="1"/>
  <c r="R63" i="1"/>
  <c r="R64" i="1" s="1"/>
  <c r="T64" i="1" s="1"/>
  <c r="I63" i="1"/>
  <c r="I64" i="1" s="1"/>
  <c r="K64" i="1" s="1"/>
  <c r="F63" i="1"/>
  <c r="F64" i="1" s="1"/>
  <c r="H64" i="1" s="1"/>
  <c r="X62" i="1"/>
  <c r="X61" i="1"/>
  <c r="X60" i="1"/>
  <c r="Y55" i="1"/>
  <c r="U54" i="1"/>
  <c r="U55" i="1" s="1"/>
  <c r="W55" i="1" s="1"/>
  <c r="R54" i="1"/>
  <c r="O54" i="1"/>
  <c r="L54" i="1"/>
  <c r="I54" i="1"/>
  <c r="F54" i="1"/>
  <c r="C54" i="1"/>
  <c r="R53" i="1"/>
  <c r="I53" i="1"/>
  <c r="C53" i="1"/>
  <c r="R52" i="1"/>
  <c r="O52" i="1"/>
  <c r="L52" i="1"/>
  <c r="I52" i="1"/>
  <c r="F52" i="1"/>
  <c r="C52" i="1"/>
  <c r="O51" i="1"/>
  <c r="I51" i="1"/>
  <c r="I55" i="1" s="1"/>
  <c r="K55" i="1" s="1"/>
  <c r="C51" i="1"/>
  <c r="X50" i="1"/>
  <c r="X49" i="1"/>
  <c r="X48" i="1"/>
  <c r="C47" i="1"/>
  <c r="X47" i="1" s="1"/>
  <c r="X46" i="1"/>
  <c r="Y41" i="1"/>
  <c r="U40" i="1"/>
  <c r="U41" i="1" s="1"/>
  <c r="W41" i="1" s="1"/>
  <c r="R40" i="1"/>
  <c r="O40" i="1"/>
  <c r="L40" i="1"/>
  <c r="I40" i="1"/>
  <c r="F40" i="1"/>
  <c r="F41" i="1" s="1"/>
  <c r="H41" i="1" s="1"/>
  <c r="C40" i="1"/>
  <c r="R39" i="1"/>
  <c r="L39" i="1"/>
  <c r="I39" i="1"/>
  <c r="C39" i="1"/>
  <c r="L38" i="1"/>
  <c r="I38" i="1"/>
  <c r="X37" i="1"/>
  <c r="O36" i="1"/>
  <c r="I36" i="1"/>
  <c r="C36" i="1"/>
  <c r="X35" i="1"/>
  <c r="X34" i="1"/>
  <c r="X33" i="1"/>
  <c r="X32" i="1"/>
  <c r="X31" i="1"/>
  <c r="C30" i="1"/>
  <c r="X30" i="1" s="1"/>
  <c r="X29" i="1"/>
  <c r="I41" i="1" l="1"/>
  <c r="K41" i="1" s="1"/>
  <c r="L41" i="1"/>
  <c r="N41" i="1" s="1"/>
  <c r="L55" i="1"/>
  <c r="N55" i="1" s="1"/>
  <c r="X39" i="1"/>
  <c r="X40" i="1"/>
  <c r="X54" i="1"/>
  <c r="O55" i="1"/>
  <c r="Q55" i="1" s="1"/>
  <c r="O41" i="1"/>
  <c r="Q41" i="1" s="1"/>
  <c r="X53" i="1"/>
  <c r="X36" i="1"/>
  <c r="X38" i="1"/>
  <c r="C55" i="1"/>
  <c r="E55" i="1" s="1"/>
  <c r="X52" i="1"/>
  <c r="R41" i="1"/>
  <c r="T41" i="1" s="1"/>
  <c r="X51" i="1"/>
  <c r="X55" i="1" s="1"/>
  <c r="Z55" i="1" s="1"/>
  <c r="F55" i="1"/>
  <c r="H55" i="1" s="1"/>
  <c r="R55" i="1"/>
  <c r="T55" i="1" s="1"/>
  <c r="C41" i="1"/>
  <c r="E41" i="1" s="1"/>
  <c r="X63" i="1"/>
  <c r="X64" i="1" s="1"/>
  <c r="Y64" i="1"/>
  <c r="X41" i="1" l="1"/>
  <c r="Z41" i="1" s="1"/>
  <c r="Z64" i="1"/>
</calcChain>
</file>

<file path=xl/sharedStrings.xml><?xml version="1.0" encoding="utf-8"?>
<sst xmlns="http://schemas.openxmlformats.org/spreadsheetml/2006/main" count="114" uniqueCount="36">
  <si>
    <t>Selvforvaltende og leide bygg</t>
  </si>
  <si>
    <t>Konto</t>
  </si>
  <si>
    <t>UiO</t>
  </si>
  <si>
    <t>KVM tot</t>
  </si>
  <si>
    <t>Per kvm</t>
  </si>
  <si>
    <t>NiH</t>
  </si>
  <si>
    <t>UiB</t>
  </si>
  <si>
    <t>NTNU</t>
  </si>
  <si>
    <t>NMBU</t>
  </si>
  <si>
    <t>UiT</t>
  </si>
  <si>
    <t>NHH</t>
  </si>
  <si>
    <t>Totalt</t>
  </si>
  <si>
    <t xml:space="preserve">Annen kostnad lokaler </t>
  </si>
  <si>
    <t>601, 602</t>
  </si>
  <si>
    <t>Avskrivning på bygg og infrastruktur</t>
  </si>
  <si>
    <t>Leie av lokaler fra øvrige</t>
  </si>
  <si>
    <t>Leie av lokaler fra Statsbygg</t>
  </si>
  <si>
    <t>Lys, varme</t>
  </si>
  <si>
    <t>Renhold, vakthold, vaktmestertjenester</t>
  </si>
  <si>
    <t>Renovasjon, vann, avløp og andre offentlig avgifter</t>
  </si>
  <si>
    <t>660, 661, 662</t>
  </si>
  <si>
    <t>Reparasjon og vedlikehold egne bygninger</t>
  </si>
  <si>
    <t>Reperasjon og vedlikehold leide lokaler</t>
  </si>
  <si>
    <t>Rente av balanseførte verdier (4,5 %)</t>
  </si>
  <si>
    <t>Sum</t>
  </si>
  <si>
    <t>Selvforvaltende bygg</t>
  </si>
  <si>
    <t>KVM selv</t>
  </si>
  <si>
    <t>Beskrivelse</t>
  </si>
  <si>
    <t>Leide bygg</t>
  </si>
  <si>
    <t>KVM leid</t>
  </si>
  <si>
    <t>Renhold personalkostnader*</t>
  </si>
  <si>
    <t>FDVU personalkostnader*</t>
  </si>
  <si>
    <t>*informasjon innhentet fra institusjonene</t>
  </si>
  <si>
    <t>FDVU personalkostnader *</t>
  </si>
  <si>
    <t>Renhold selvforvaltende personalkostnader*</t>
  </si>
  <si>
    <t>Renhold leid personalkostnader*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</si>
</sst>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_ * #,##0_ ;_ * \-#,##0_ ;_ * &quot;-&quot;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2" borderId="0" xfId="0" applyFont="1" applyFill="1"/>
    <xf numFmtId="0" fontId="0" fillId="2" borderId="0" xfId="0" applyFill="1"/>
    <xf numFmtId="0" fontId="3" fillId="2" borderId="1" xfId="0" applyFont="1" applyFill="1" applyBorder="1"/>
    <xf numFmtId="0" fontId="0" fillId="2" borderId="1" xfId="0" applyFill="1" applyBorder="1"/>
    <xf numFmtId="164" fontId="0" fillId="2" borderId="1" xfId="1" applyNumberFormat="1" applyFont="1" applyFill="1" applyBorder="1"/>
    <xf numFmtId="0" fontId="0" fillId="0" borderId="1" xfId="0" applyBorder="1"/>
    <xf numFmtId="164" fontId="0" fillId="2" borderId="1" xfId="0" applyNumberFormat="1" applyFill="1" applyBorder="1"/>
    <xf numFmtId="164" fontId="2" fillId="2" borderId="1" xfId="1" applyNumberFormat="1" applyFont="1" applyFill="1" applyBorder="1"/>
    <xf numFmtId="43" fontId="0" fillId="2" borderId="1" xfId="1" applyFont="1" applyFill="1" applyBorder="1"/>
    <xf numFmtId="164" fontId="3" fillId="2" borderId="1" xfId="0" applyNumberFormat="1" applyFont="1" applyFill="1" applyBorder="1"/>
    <xf numFmtId="164" fontId="3" fillId="2" borderId="1" xfId="1" applyNumberFormat="1" applyFont="1" applyFill="1" applyBorder="1"/>
    <xf numFmtId="165" fontId="3" fillId="2" borderId="1" xfId="0" applyNumberFormat="1" applyFont="1" applyFill="1" applyBorder="1"/>
    <xf numFmtId="43" fontId="0" fillId="2" borderId="0" xfId="1" applyFont="1" applyFill="1"/>
    <xf numFmtId="164" fontId="0" fillId="2" borderId="0" xfId="0" applyNumberFormat="1" applyFill="1"/>
    <xf numFmtId="0" fontId="3" fillId="2" borderId="0" xfId="0" applyFont="1" applyFill="1"/>
    <xf numFmtId="0" fontId="0" fillId="2" borderId="1" xfId="0" applyFont="1" applyFill="1" applyBorder="1"/>
    <xf numFmtId="164" fontId="0" fillId="2" borderId="1" xfId="0" applyNumberFormat="1" applyFont="1" applyFill="1" applyBorder="1"/>
    <xf numFmtId="164" fontId="0" fillId="0" borderId="1" xfId="1" applyNumberFormat="1" applyFont="1" applyFill="1" applyBorder="1"/>
    <xf numFmtId="0" fontId="0" fillId="0" borderId="1" xfId="0" applyFill="1" applyBorder="1"/>
    <xf numFmtId="43" fontId="0" fillId="0" borderId="1" xfId="1" applyFont="1" applyFill="1" applyBorder="1"/>
    <xf numFmtId="164" fontId="0" fillId="0" borderId="1" xfId="0" applyNumberFormat="1" applyFill="1" applyBorder="1"/>
    <xf numFmtId="0" fontId="0" fillId="0" borderId="0" xfId="0" applyFill="1"/>
    <xf numFmtId="0" fontId="0" fillId="0" borderId="1" xfId="0" applyFont="1" applyBorder="1"/>
    <xf numFmtId="0" fontId="0" fillId="2" borderId="0" xfId="0" applyFont="1" applyFill="1"/>
    <xf numFmtId="0" fontId="3" fillId="2" borderId="0" xfId="0" applyFont="1" applyFill="1" applyBorder="1"/>
    <xf numFmtId="164" fontId="3" fillId="2" borderId="0" xfId="0" applyNumberFormat="1" applyFont="1" applyFill="1" applyBorder="1"/>
    <xf numFmtId="164" fontId="3" fillId="2" borderId="0" xfId="1" applyNumberFormat="1" applyFont="1" applyFill="1" applyBorder="1"/>
    <xf numFmtId="165" fontId="3" fillId="2" borderId="0" xfId="0" applyNumberFormat="1" applyFont="1" applyFill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2</xdr:row>
      <xdr:rowOff>28576</xdr:rowOff>
    </xdr:from>
    <xdr:to>
      <xdr:col>7</xdr:col>
      <xdr:colOff>228600</xdr:colOff>
      <xdr:row>22</xdr:row>
      <xdr:rowOff>9526</xdr:rowOff>
    </xdr:to>
    <xdr:sp macro="" textlink="">
      <xdr:nvSpPr>
        <xdr:cNvPr id="2" name="TekstSylinder 1"/>
        <xdr:cNvSpPr txBox="1"/>
      </xdr:nvSpPr>
      <xdr:spPr>
        <a:xfrm>
          <a:off x="752475" y="409576"/>
          <a:ext cx="9039225" cy="3790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Forutsetninger</a:t>
          </a:r>
          <a:r>
            <a:rPr lang="nb-NO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lvl="0"/>
          <a:r>
            <a:rPr lang="nb-NO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Inkluderer alle selvforvaltende institusjoner (NIH, NHH, NMBU, NTNU, UIB, UIO, UiT) og antall kvadratmeter som er registrert som selvforvaltet areal ved disse institusjonene. Leide areal er ikke med i departmentets beregning.</a:t>
          </a:r>
        </a:p>
        <a:p>
          <a:pPr lvl="0"/>
          <a:r>
            <a:rPr lang="nb-NO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Rente på balanseførte verdier av byggene er satt til 4,5 % for å   sammenlikne ulike forvaltningsregimer Denne renta kan bli sett på som alternativ avkastning på kapitalen. Renten er bygd opp på samme måte som statens husleieordning. Rentesatsen er satt i henhold til risikofri rente fastsatt av Finansdepartementet 4% og risikopåslag på 0,5% utfra bygningenes restverdi.</a:t>
          </a:r>
        </a:p>
        <a:p>
          <a:pPr lvl="0"/>
          <a:r>
            <a:rPr lang="nb-NO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Beregningen inkluderer personalkostnader til renhold og FDVU (opplysninger innhentet fra de selvforvaltende institusjonene), som Statsbygg ikke hadde inkludert i sin beregning.</a:t>
          </a:r>
        </a:p>
        <a:p>
          <a:pPr lvl="0"/>
          <a:r>
            <a:rPr lang="nb-NO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Lønnskostnadene institusjonene har meldt inn er fordelt pro rata på selvforvaltende areal og leid areal.</a:t>
          </a:r>
        </a:p>
        <a:p>
          <a:endParaRPr lang="nb-NO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7:Z76"/>
  <sheetViews>
    <sheetView tabSelected="1" workbookViewId="0">
      <selection activeCell="M13" sqref="M13"/>
    </sheetView>
  </sheetViews>
  <sheetFormatPr baseColWidth="10" defaultRowHeight="15" x14ac:dyDescent="0.25"/>
  <cols>
    <col min="1" max="1" width="40.5703125" bestFit="1" customWidth="1"/>
    <col min="2" max="2" width="47" bestFit="1" customWidth="1"/>
    <col min="3" max="3" width="14.7109375" bestFit="1" customWidth="1"/>
    <col min="4" max="4" width="10.85546875" bestFit="1" customWidth="1"/>
    <col min="5" max="5" width="8.140625" bestFit="1" customWidth="1"/>
    <col min="6" max="6" width="13.28515625" bestFit="1" customWidth="1"/>
    <col min="7" max="7" width="8.85546875" bestFit="1" customWidth="1"/>
    <col min="8" max="8" width="8.140625" bestFit="1" customWidth="1"/>
    <col min="9" max="9" width="14.28515625" bestFit="1" customWidth="1"/>
    <col min="10" max="10" width="9.85546875" bestFit="1" customWidth="1"/>
    <col min="11" max="11" width="8.140625" bestFit="1" customWidth="1"/>
    <col min="12" max="12" width="14.7109375" bestFit="1" customWidth="1"/>
    <col min="13" max="13" width="10.85546875" bestFit="1" customWidth="1"/>
    <col min="14" max="14" width="8.85546875" bestFit="1" customWidth="1"/>
    <col min="15" max="15" width="13.28515625" bestFit="1" customWidth="1"/>
    <col min="16" max="17" width="13.28515625" customWidth="1"/>
    <col min="18" max="18" width="14.28515625" bestFit="1" customWidth="1"/>
    <col min="21" max="21" width="13.28515625" bestFit="1" customWidth="1"/>
    <col min="24" max="24" width="13.140625" bestFit="1" customWidth="1"/>
  </cols>
  <sheetData>
    <row r="27" spans="1:26" s="2" customFormat="1" ht="21" x14ac:dyDescent="0.35">
      <c r="A27" s="1" t="s">
        <v>0</v>
      </c>
    </row>
    <row r="28" spans="1:26" s="2" customFormat="1" x14ac:dyDescent="0.25">
      <c r="A28" s="3" t="s">
        <v>1</v>
      </c>
      <c r="B28" s="3" t="s">
        <v>27</v>
      </c>
      <c r="C28" s="3" t="s">
        <v>2</v>
      </c>
      <c r="D28" s="3" t="s">
        <v>3</v>
      </c>
      <c r="E28" s="3" t="s">
        <v>4</v>
      </c>
      <c r="F28" s="3" t="s">
        <v>5</v>
      </c>
      <c r="G28" s="3" t="s">
        <v>3</v>
      </c>
      <c r="H28" s="3" t="s">
        <v>4</v>
      </c>
      <c r="I28" s="3" t="s">
        <v>6</v>
      </c>
      <c r="J28" s="3" t="s">
        <v>3</v>
      </c>
      <c r="K28" s="3" t="s">
        <v>4</v>
      </c>
      <c r="L28" s="3" t="s">
        <v>7</v>
      </c>
      <c r="M28" s="3" t="s">
        <v>3</v>
      </c>
      <c r="N28" s="3" t="s">
        <v>4</v>
      </c>
      <c r="O28" s="3" t="s">
        <v>8</v>
      </c>
      <c r="P28" s="3" t="s">
        <v>3</v>
      </c>
      <c r="Q28" s="3" t="s">
        <v>4</v>
      </c>
      <c r="R28" s="3" t="s">
        <v>9</v>
      </c>
      <c r="S28" s="3" t="s">
        <v>3</v>
      </c>
      <c r="T28" s="3" t="s">
        <v>4</v>
      </c>
      <c r="U28" s="3" t="s">
        <v>10</v>
      </c>
      <c r="V28" s="3" t="s">
        <v>3</v>
      </c>
      <c r="W28" s="3" t="s">
        <v>4</v>
      </c>
      <c r="X28" s="3" t="s">
        <v>11</v>
      </c>
      <c r="Y28" s="3" t="s">
        <v>3</v>
      </c>
      <c r="Z28" s="3" t="s">
        <v>4</v>
      </c>
    </row>
    <row r="29" spans="1:26" s="2" customFormat="1" x14ac:dyDescent="0.25">
      <c r="A29" s="4">
        <v>639</v>
      </c>
      <c r="B29" s="6" t="s">
        <v>12</v>
      </c>
      <c r="C29" s="5">
        <v>4327009.3600000003</v>
      </c>
      <c r="D29" s="5"/>
      <c r="E29" s="5"/>
      <c r="F29" s="5">
        <v>207294.99</v>
      </c>
      <c r="G29" s="5"/>
      <c r="H29" s="5"/>
      <c r="I29" s="5">
        <v>22441077.66</v>
      </c>
      <c r="J29" s="5"/>
      <c r="K29" s="5"/>
      <c r="L29" s="5">
        <v>0</v>
      </c>
      <c r="M29" s="5"/>
      <c r="N29" s="5"/>
      <c r="O29" s="5">
        <v>8072633.6900000004</v>
      </c>
      <c r="P29" s="5"/>
      <c r="Q29" s="5"/>
      <c r="R29" s="5">
        <v>2311872</v>
      </c>
      <c r="S29" s="4"/>
      <c r="T29" s="4"/>
      <c r="U29" s="5">
        <v>702769</v>
      </c>
      <c r="V29" s="4"/>
      <c r="W29" s="4"/>
      <c r="X29" s="7">
        <f t="shared" ref="X29:X40" si="0">+C29+F29+I29+L29+O29+R29+U29</f>
        <v>38062656.700000003</v>
      </c>
      <c r="Y29" s="4"/>
      <c r="Z29" s="4"/>
    </row>
    <row r="30" spans="1:26" s="2" customFormat="1" x14ac:dyDescent="0.25">
      <c r="A30" s="4" t="s">
        <v>13</v>
      </c>
      <c r="B30" s="6" t="s">
        <v>14</v>
      </c>
      <c r="C30" s="5">
        <f>475543874.28+586827.37</f>
        <v>476130701.64999998</v>
      </c>
      <c r="D30" s="5"/>
      <c r="E30" s="5"/>
      <c r="F30" s="5">
        <v>9585579.6799999997</v>
      </c>
      <c r="G30" s="5"/>
      <c r="H30" s="5"/>
      <c r="I30" s="5">
        <v>179137325.15000001</v>
      </c>
      <c r="J30" s="5"/>
      <c r="K30" s="5"/>
      <c r="L30" s="5">
        <v>422155991.33999997</v>
      </c>
      <c r="M30" s="5"/>
      <c r="N30" s="5"/>
      <c r="O30" s="5">
        <v>38521659.969999999</v>
      </c>
      <c r="P30" s="5"/>
      <c r="Q30" s="5"/>
      <c r="R30" s="5">
        <v>89868437</v>
      </c>
      <c r="S30" s="4"/>
      <c r="T30" s="4"/>
      <c r="U30" s="5">
        <v>9136380</v>
      </c>
      <c r="V30" s="4"/>
      <c r="W30" s="4"/>
      <c r="X30" s="7">
        <f t="shared" si="0"/>
        <v>1224536074.79</v>
      </c>
      <c r="Y30" s="4"/>
      <c r="Z30" s="4"/>
    </row>
    <row r="31" spans="1:26" s="24" customFormat="1" x14ac:dyDescent="0.25">
      <c r="A31" s="16">
        <v>630</v>
      </c>
      <c r="B31" s="23" t="s">
        <v>15</v>
      </c>
      <c r="C31" s="5">
        <v>208884907.63</v>
      </c>
      <c r="D31" s="5"/>
      <c r="E31" s="5"/>
      <c r="F31" s="5">
        <v>1981836.26</v>
      </c>
      <c r="G31" s="5"/>
      <c r="H31" s="5"/>
      <c r="I31" s="5">
        <v>147217056.47</v>
      </c>
      <c r="J31" s="5"/>
      <c r="K31" s="5"/>
      <c r="L31" s="5">
        <v>383231341.07999998</v>
      </c>
      <c r="M31" s="5"/>
      <c r="N31" s="5"/>
      <c r="O31" s="5">
        <v>11184158.42</v>
      </c>
      <c r="P31" s="5"/>
      <c r="Q31" s="5"/>
      <c r="R31" s="5">
        <v>78294513</v>
      </c>
      <c r="S31" s="16"/>
      <c r="T31" s="16"/>
      <c r="U31" s="5">
        <v>4162682</v>
      </c>
      <c r="V31" s="16"/>
      <c r="W31" s="16"/>
      <c r="X31" s="17">
        <f t="shared" si="0"/>
        <v>834956494.86000001</v>
      </c>
      <c r="Y31" s="16"/>
      <c r="Z31" s="16"/>
    </row>
    <row r="32" spans="1:26" s="24" customFormat="1" x14ac:dyDescent="0.25">
      <c r="A32" s="16">
        <v>631</v>
      </c>
      <c r="B32" s="23" t="s">
        <v>16</v>
      </c>
      <c r="C32" s="5">
        <v>59235502</v>
      </c>
      <c r="D32" s="5"/>
      <c r="E32" s="5"/>
      <c r="F32" s="5">
        <v>0</v>
      </c>
      <c r="G32" s="5"/>
      <c r="H32" s="5"/>
      <c r="I32" s="5">
        <v>0</v>
      </c>
      <c r="J32" s="5"/>
      <c r="K32" s="5"/>
      <c r="L32" s="5">
        <v>0</v>
      </c>
      <c r="M32" s="5"/>
      <c r="N32" s="5"/>
      <c r="O32" s="5">
        <v>0</v>
      </c>
      <c r="P32" s="5"/>
      <c r="Q32" s="5"/>
      <c r="R32" s="5">
        <v>116243741</v>
      </c>
      <c r="S32" s="16"/>
      <c r="T32" s="16"/>
      <c r="U32" s="5">
        <v>28241631</v>
      </c>
      <c r="V32" s="16"/>
      <c r="W32" s="16"/>
      <c r="X32" s="17">
        <f t="shared" si="0"/>
        <v>203720874</v>
      </c>
      <c r="Y32" s="16"/>
      <c r="Z32" s="16"/>
    </row>
    <row r="33" spans="1:26" s="2" customFormat="1" x14ac:dyDescent="0.25">
      <c r="A33" s="4">
        <v>634</v>
      </c>
      <c r="B33" s="6" t="s">
        <v>17</v>
      </c>
      <c r="C33" s="5">
        <v>140151296</v>
      </c>
      <c r="D33" s="5"/>
      <c r="E33" s="5"/>
      <c r="F33" s="5">
        <v>3119295.09</v>
      </c>
      <c r="G33" s="5"/>
      <c r="H33" s="5"/>
      <c r="I33" s="5">
        <v>69025933.909999996</v>
      </c>
      <c r="J33" s="5"/>
      <c r="K33" s="5"/>
      <c r="L33" s="5">
        <v>123338218.89</v>
      </c>
      <c r="M33" s="5"/>
      <c r="N33" s="5"/>
      <c r="O33" s="5">
        <v>31330871.460000001</v>
      </c>
      <c r="P33" s="5"/>
      <c r="Q33" s="5"/>
      <c r="R33" s="5">
        <v>54207153</v>
      </c>
      <c r="S33" s="4"/>
      <c r="T33" s="4"/>
      <c r="U33" s="5">
        <v>5124292</v>
      </c>
      <c r="V33" s="4"/>
      <c r="W33" s="4"/>
      <c r="X33" s="7">
        <f t="shared" si="0"/>
        <v>426297060.34999996</v>
      </c>
      <c r="Y33" s="4"/>
      <c r="Z33" s="4"/>
    </row>
    <row r="34" spans="1:26" s="2" customFormat="1" x14ac:dyDescent="0.25">
      <c r="A34" s="4">
        <v>636</v>
      </c>
      <c r="B34" s="6" t="s">
        <v>18</v>
      </c>
      <c r="C34" s="5">
        <v>89536649.640000001</v>
      </c>
      <c r="D34" s="5"/>
      <c r="E34" s="5"/>
      <c r="F34" s="5">
        <v>678796.31</v>
      </c>
      <c r="G34" s="5"/>
      <c r="H34" s="5"/>
      <c r="I34" s="5">
        <v>50218837.399999999</v>
      </c>
      <c r="J34" s="5"/>
      <c r="K34" s="5"/>
      <c r="L34" s="5">
        <v>23736819.09</v>
      </c>
      <c r="M34" s="5"/>
      <c r="N34" s="5"/>
      <c r="O34" s="5">
        <v>7630433.5300000003</v>
      </c>
      <c r="P34" s="5"/>
      <c r="Q34" s="5"/>
      <c r="R34" s="5">
        <v>26007117</v>
      </c>
      <c r="S34" s="4"/>
      <c r="T34" s="4"/>
      <c r="U34" s="5">
        <v>6728254</v>
      </c>
      <c r="V34" s="4"/>
      <c r="W34" s="4"/>
      <c r="X34" s="7">
        <f t="shared" si="0"/>
        <v>204536906.97</v>
      </c>
      <c r="Y34" s="4"/>
      <c r="Z34" s="4"/>
    </row>
    <row r="35" spans="1:26" s="2" customFormat="1" x14ac:dyDescent="0.25">
      <c r="A35" s="4">
        <v>632</v>
      </c>
      <c r="B35" s="6" t="s">
        <v>19</v>
      </c>
      <c r="C35" s="5">
        <v>17947919.66</v>
      </c>
      <c r="D35" s="5"/>
      <c r="E35" s="5"/>
      <c r="F35" s="5">
        <v>936380.83</v>
      </c>
      <c r="G35" s="5"/>
      <c r="H35" s="5"/>
      <c r="I35" s="5">
        <v>17451618.559999999</v>
      </c>
      <c r="J35" s="5"/>
      <c r="K35" s="5"/>
      <c r="L35" s="5">
        <v>10701888.26</v>
      </c>
      <c r="M35" s="5"/>
      <c r="N35" s="5"/>
      <c r="O35" s="5">
        <v>8114956.8600000003</v>
      </c>
      <c r="P35" s="5"/>
      <c r="Q35" s="5"/>
      <c r="R35" s="5">
        <v>7667156</v>
      </c>
      <c r="S35" s="4"/>
      <c r="T35" s="4"/>
      <c r="U35" s="5">
        <v>1524104</v>
      </c>
      <c r="V35" s="4"/>
      <c r="W35" s="4"/>
      <c r="X35" s="7">
        <f t="shared" si="0"/>
        <v>64344024.169999994</v>
      </c>
      <c r="Y35" s="4"/>
      <c r="Z35" s="4"/>
    </row>
    <row r="36" spans="1:26" s="2" customFormat="1" x14ac:dyDescent="0.25">
      <c r="A36" s="4" t="s">
        <v>20</v>
      </c>
      <c r="B36" s="6" t="s">
        <v>21</v>
      </c>
      <c r="C36" s="5">
        <f>49723504.89+52781722.42+20668412.28</f>
        <v>123173639.59</v>
      </c>
      <c r="D36" s="5"/>
      <c r="E36" s="5"/>
      <c r="F36" s="5">
        <v>2660932.9</v>
      </c>
      <c r="G36" s="5"/>
      <c r="H36" s="5"/>
      <c r="I36" s="5">
        <f>88532877.87+38995205.25+10018281.81</f>
        <v>137546364.93000001</v>
      </c>
      <c r="J36" s="5"/>
      <c r="K36" s="5"/>
      <c r="L36" s="5">
        <v>145241012.13999999</v>
      </c>
      <c r="M36" s="5"/>
      <c r="N36" s="5"/>
      <c r="O36" s="5">
        <f>38892210.66+8025887.66</f>
        <v>46918098.319999993</v>
      </c>
      <c r="P36" s="5"/>
      <c r="Q36" s="5"/>
      <c r="R36" s="5">
        <v>26787356</v>
      </c>
      <c r="S36" s="4"/>
      <c r="T36" s="4"/>
      <c r="U36" s="5">
        <v>4433140</v>
      </c>
      <c r="V36" s="4"/>
      <c r="W36" s="4"/>
      <c r="X36" s="7">
        <f t="shared" si="0"/>
        <v>486760543.88</v>
      </c>
      <c r="Y36" s="4"/>
      <c r="Z36" s="4"/>
    </row>
    <row r="37" spans="1:26" s="24" customFormat="1" x14ac:dyDescent="0.25">
      <c r="A37" s="16">
        <v>663</v>
      </c>
      <c r="B37" s="23" t="s">
        <v>22</v>
      </c>
      <c r="C37" s="5">
        <v>4534288.38</v>
      </c>
      <c r="D37" s="5"/>
      <c r="E37" s="5"/>
      <c r="F37" s="5">
        <v>92825</v>
      </c>
      <c r="G37" s="5"/>
      <c r="H37" s="5"/>
      <c r="I37" s="5">
        <v>0</v>
      </c>
      <c r="J37" s="5"/>
      <c r="K37" s="5"/>
      <c r="L37" s="5">
        <v>0</v>
      </c>
      <c r="M37" s="5"/>
      <c r="N37" s="5"/>
      <c r="O37" s="5">
        <v>178147.77</v>
      </c>
      <c r="P37" s="5"/>
      <c r="Q37" s="5"/>
      <c r="R37" s="5">
        <v>2138429</v>
      </c>
      <c r="S37" s="16"/>
      <c r="T37" s="16"/>
      <c r="U37" s="5">
        <v>158609</v>
      </c>
      <c r="V37" s="16"/>
      <c r="W37" s="16"/>
      <c r="X37" s="17">
        <f t="shared" si="0"/>
        <v>7102299.1499999994</v>
      </c>
      <c r="Y37" s="16"/>
      <c r="Z37" s="16"/>
    </row>
    <row r="38" spans="1:26" s="22" customFormat="1" x14ac:dyDescent="0.25">
      <c r="A38" s="19" t="s">
        <v>30</v>
      </c>
      <c r="B38" s="19"/>
      <c r="C38" s="18">
        <v>26419157</v>
      </c>
      <c r="D38" s="19"/>
      <c r="E38" s="19"/>
      <c r="F38" s="20">
        <v>6680859</v>
      </c>
      <c r="G38" s="19"/>
      <c r="H38" s="19"/>
      <c r="I38" s="18">
        <f>401200*5.3</f>
        <v>2126360</v>
      </c>
      <c r="J38" s="19"/>
      <c r="K38" s="19"/>
      <c r="L38" s="18">
        <f>150*510000</f>
        <v>76500000</v>
      </c>
      <c r="M38" s="19"/>
      <c r="N38" s="19"/>
      <c r="O38" s="18">
        <v>18149000</v>
      </c>
      <c r="P38" s="18"/>
      <c r="Q38" s="18"/>
      <c r="R38" s="18">
        <v>39176545</v>
      </c>
      <c r="S38" s="19"/>
      <c r="T38" s="19"/>
      <c r="U38" s="18">
        <v>0</v>
      </c>
      <c r="V38" s="18"/>
      <c r="W38" s="18"/>
      <c r="X38" s="21">
        <f t="shared" si="0"/>
        <v>169051921</v>
      </c>
      <c r="Y38" s="19"/>
      <c r="Z38" s="19"/>
    </row>
    <row r="39" spans="1:26" s="22" customFormat="1" x14ac:dyDescent="0.25">
      <c r="A39" s="19" t="s">
        <v>31</v>
      </c>
      <c r="B39" s="19"/>
      <c r="C39" s="18">
        <f>36711433+58853285+9044038</f>
        <v>104608756</v>
      </c>
      <c r="D39" s="19"/>
      <c r="E39" s="19"/>
      <c r="F39" s="20">
        <v>5718024</v>
      </c>
      <c r="G39" s="19"/>
      <c r="H39" s="19"/>
      <c r="I39" s="20">
        <f>513500*79.8</f>
        <v>40977300</v>
      </c>
      <c r="J39" s="19"/>
      <c r="K39" s="19"/>
      <c r="L39" s="18">
        <f>110*695000</f>
        <v>76450000</v>
      </c>
      <c r="M39" s="19"/>
      <c r="N39" s="19"/>
      <c r="O39" s="18">
        <v>45488000</v>
      </c>
      <c r="P39" s="18"/>
      <c r="Q39" s="18"/>
      <c r="R39" s="18">
        <f>17395554+23729913</f>
        <v>41125467</v>
      </c>
      <c r="S39" s="19"/>
      <c r="T39" s="19"/>
      <c r="U39" s="18">
        <v>5085791</v>
      </c>
      <c r="V39" s="18"/>
      <c r="W39" s="18"/>
      <c r="X39" s="21">
        <f t="shared" si="0"/>
        <v>319453338</v>
      </c>
      <c r="Y39" s="19"/>
      <c r="Z39" s="19"/>
    </row>
    <row r="40" spans="1:26" s="2" customFormat="1" x14ac:dyDescent="0.25">
      <c r="A40" s="4" t="s">
        <v>23</v>
      </c>
      <c r="B40" s="4"/>
      <c r="C40" s="9">
        <f>10425382221*0.045</f>
        <v>469142199.94499999</v>
      </c>
      <c r="D40" s="4"/>
      <c r="E40" s="4"/>
      <c r="F40" s="9">
        <f>336711577*0.045</f>
        <v>15152020.965</v>
      </c>
      <c r="G40" s="4"/>
      <c r="H40" s="4"/>
      <c r="I40" s="5">
        <f>5087566328*0.045</f>
        <v>228940484.75999999</v>
      </c>
      <c r="J40" s="4"/>
      <c r="K40" s="4"/>
      <c r="L40" s="5">
        <f>8531904203*0.045</f>
        <v>383935689.13499999</v>
      </c>
      <c r="M40" s="4"/>
      <c r="N40" s="4"/>
      <c r="O40" s="5">
        <f>1886207418*0.045</f>
        <v>84879333.810000002</v>
      </c>
      <c r="P40" s="5"/>
      <c r="Q40" s="5"/>
      <c r="R40" s="5">
        <f>2966146424*0.045</f>
        <v>133476589.08</v>
      </c>
      <c r="S40" s="4"/>
      <c r="T40" s="4"/>
      <c r="U40" s="5">
        <f>288388518.78*0.045</f>
        <v>12977483.345099999</v>
      </c>
      <c r="V40" s="5"/>
      <c r="W40" s="5"/>
      <c r="X40" s="7">
        <f t="shared" si="0"/>
        <v>1328503801.0400996</v>
      </c>
      <c r="Y40" s="4"/>
      <c r="Z40" s="4"/>
    </row>
    <row r="41" spans="1:26" s="2" customFormat="1" x14ac:dyDescent="0.25">
      <c r="A41" s="3" t="s">
        <v>24</v>
      </c>
      <c r="B41" s="3"/>
      <c r="C41" s="10">
        <f>SUM(C29:C40)</f>
        <v>1724092026.855</v>
      </c>
      <c r="D41" s="11">
        <v>590882</v>
      </c>
      <c r="E41" s="12">
        <f>+C41/D41</f>
        <v>2917.8279704831084</v>
      </c>
      <c r="F41" s="11">
        <f>SUM(F29:F40)</f>
        <v>46813845.024999999</v>
      </c>
      <c r="G41" s="11">
        <v>36451</v>
      </c>
      <c r="H41" s="12">
        <f>+F41/G41</f>
        <v>1284.295218924035</v>
      </c>
      <c r="I41" s="10">
        <f>SUM(I29:I40)</f>
        <v>895082358.83999991</v>
      </c>
      <c r="J41" s="11">
        <v>399110</v>
      </c>
      <c r="K41" s="12">
        <f>+I41/J41</f>
        <v>2242.6958954674146</v>
      </c>
      <c r="L41" s="10">
        <f>SUM(L29:L40)</f>
        <v>1645290959.9349999</v>
      </c>
      <c r="M41" s="11">
        <v>747825</v>
      </c>
      <c r="N41" s="11">
        <f>+L41/M41</f>
        <v>2200.1015744793235</v>
      </c>
      <c r="O41" s="10">
        <f>SUM(O29:O40)</f>
        <v>300467293.83000004</v>
      </c>
      <c r="P41" s="11">
        <v>196784</v>
      </c>
      <c r="Q41" s="11">
        <f>+O41/P41</f>
        <v>1526.8888417249373</v>
      </c>
      <c r="R41" s="11">
        <f>SUM(R29:R40)</f>
        <v>617304375.08000004</v>
      </c>
      <c r="S41" s="11">
        <v>301648</v>
      </c>
      <c r="T41" s="10">
        <f>+R41/S41</f>
        <v>2046.4394760780779</v>
      </c>
      <c r="U41" s="11">
        <f>SUM(U29:U40)</f>
        <v>78275135.345100001</v>
      </c>
      <c r="V41" s="11">
        <v>31663</v>
      </c>
      <c r="W41" s="11">
        <f>+U41/V41</f>
        <v>2472.132626254619</v>
      </c>
      <c r="X41" s="10">
        <f>SUM(X29:X40)</f>
        <v>5307325994.910099</v>
      </c>
      <c r="Y41" s="10">
        <f>+D41+G41+J41+M41+P41+S41+V41</f>
        <v>2304363</v>
      </c>
      <c r="Z41" s="10">
        <f>+X41/Y41</f>
        <v>2303.1640392204263</v>
      </c>
    </row>
    <row r="42" spans="1:26" s="2" customFormat="1" x14ac:dyDescent="0.25">
      <c r="F42" s="13"/>
    </row>
    <row r="43" spans="1:26" s="2" customFormat="1" x14ac:dyDescent="0.25">
      <c r="A43" s="2" t="s">
        <v>32</v>
      </c>
      <c r="L43" s="14"/>
    </row>
    <row r="44" spans="1:26" s="2" customFormat="1" ht="21" x14ac:dyDescent="0.35">
      <c r="A44" s="1" t="s">
        <v>25</v>
      </c>
    </row>
    <row r="45" spans="1:26" s="15" customFormat="1" x14ac:dyDescent="0.25">
      <c r="A45" s="3" t="s">
        <v>1</v>
      </c>
      <c r="B45" s="3" t="s">
        <v>27</v>
      </c>
      <c r="C45" s="3" t="s">
        <v>2</v>
      </c>
      <c r="D45" s="3" t="s">
        <v>26</v>
      </c>
      <c r="E45" s="3" t="s">
        <v>4</v>
      </c>
      <c r="F45" s="3" t="s">
        <v>5</v>
      </c>
      <c r="G45" s="3" t="s">
        <v>26</v>
      </c>
      <c r="H45" s="3" t="s">
        <v>4</v>
      </c>
      <c r="I45" s="3" t="s">
        <v>6</v>
      </c>
      <c r="J45" s="3" t="s">
        <v>26</v>
      </c>
      <c r="K45" s="3" t="s">
        <v>4</v>
      </c>
      <c r="L45" s="3" t="s">
        <v>7</v>
      </c>
      <c r="M45" s="3" t="s">
        <v>26</v>
      </c>
      <c r="N45" s="3" t="s">
        <v>4</v>
      </c>
      <c r="O45" s="3" t="s">
        <v>8</v>
      </c>
      <c r="P45" s="3" t="s">
        <v>26</v>
      </c>
      <c r="Q45" s="3" t="s">
        <v>4</v>
      </c>
      <c r="R45" s="3" t="s">
        <v>9</v>
      </c>
      <c r="S45" s="3" t="s">
        <v>26</v>
      </c>
      <c r="T45" s="3" t="s">
        <v>4</v>
      </c>
      <c r="U45" s="3" t="s">
        <v>10</v>
      </c>
      <c r="V45" s="3" t="s">
        <v>26</v>
      </c>
      <c r="W45" s="3" t="s">
        <v>4</v>
      </c>
      <c r="X45" s="3" t="s">
        <v>11</v>
      </c>
      <c r="Y45" s="3" t="s">
        <v>3</v>
      </c>
      <c r="Z45" s="3" t="s">
        <v>4</v>
      </c>
    </row>
    <row r="46" spans="1:26" s="2" customFormat="1" x14ac:dyDescent="0.25">
      <c r="A46" s="4">
        <v>639</v>
      </c>
      <c r="B46" s="6" t="s">
        <v>12</v>
      </c>
      <c r="C46" s="5">
        <v>4327009.3600000003</v>
      </c>
      <c r="D46" s="5"/>
      <c r="E46" s="5"/>
      <c r="F46" s="5">
        <v>207294.99</v>
      </c>
      <c r="G46" s="5"/>
      <c r="H46" s="5"/>
      <c r="I46" s="5">
        <v>22441077.66</v>
      </c>
      <c r="J46" s="5"/>
      <c r="K46" s="5"/>
      <c r="L46" s="5">
        <v>0</v>
      </c>
      <c r="M46" s="5"/>
      <c r="N46" s="5"/>
      <c r="O46" s="5">
        <v>8072633.6900000004</v>
      </c>
      <c r="P46" s="5"/>
      <c r="Q46" s="5"/>
      <c r="R46" s="5">
        <v>2311872</v>
      </c>
      <c r="S46" s="4"/>
      <c r="T46" s="4"/>
      <c r="U46" s="5">
        <v>702769</v>
      </c>
      <c r="V46" s="4"/>
      <c r="W46" s="4"/>
      <c r="X46" s="7">
        <f t="shared" ref="X46:X54" si="1">+C46+F46+I46+L46+O46+R46+U46</f>
        <v>38062656.700000003</v>
      </c>
      <c r="Y46" s="4"/>
      <c r="Z46" s="4"/>
    </row>
    <row r="47" spans="1:26" s="2" customFormat="1" x14ac:dyDescent="0.25">
      <c r="A47" s="4" t="s">
        <v>13</v>
      </c>
      <c r="B47" s="6" t="s">
        <v>14</v>
      </c>
      <c r="C47" s="5">
        <f>475543874.28+586827.37</f>
        <v>476130701.64999998</v>
      </c>
      <c r="D47" s="5"/>
      <c r="E47" s="5"/>
      <c r="F47" s="5">
        <v>9585579.6799999997</v>
      </c>
      <c r="G47" s="5"/>
      <c r="H47" s="5"/>
      <c r="I47" s="5">
        <v>179137325.15000001</v>
      </c>
      <c r="J47" s="5"/>
      <c r="K47" s="5"/>
      <c r="L47" s="5">
        <v>422155991.33999997</v>
      </c>
      <c r="M47" s="5"/>
      <c r="N47" s="5"/>
      <c r="O47" s="5">
        <v>38521659.969999999</v>
      </c>
      <c r="P47" s="5"/>
      <c r="Q47" s="5"/>
      <c r="R47" s="5">
        <v>89868437</v>
      </c>
      <c r="S47" s="4"/>
      <c r="T47" s="4"/>
      <c r="U47" s="5">
        <v>9136380</v>
      </c>
      <c r="V47" s="4"/>
      <c r="W47" s="4"/>
      <c r="X47" s="7">
        <f t="shared" si="1"/>
        <v>1224536074.79</v>
      </c>
      <c r="Y47" s="4"/>
      <c r="Z47" s="4"/>
    </row>
    <row r="48" spans="1:26" s="2" customFormat="1" x14ac:dyDescent="0.25">
      <c r="A48" s="4">
        <v>634</v>
      </c>
      <c r="B48" s="6" t="s">
        <v>17</v>
      </c>
      <c r="C48" s="5">
        <v>140151296</v>
      </c>
      <c r="D48" s="5"/>
      <c r="E48" s="5"/>
      <c r="F48" s="5">
        <v>3119295.09</v>
      </c>
      <c r="G48" s="5"/>
      <c r="H48" s="5"/>
      <c r="I48" s="5">
        <v>69025933.909999996</v>
      </c>
      <c r="J48" s="5"/>
      <c r="K48" s="5"/>
      <c r="L48" s="5">
        <v>123338218.89</v>
      </c>
      <c r="M48" s="5"/>
      <c r="N48" s="5"/>
      <c r="O48" s="5">
        <v>31330871.460000001</v>
      </c>
      <c r="P48" s="5"/>
      <c r="Q48" s="5"/>
      <c r="R48" s="5">
        <v>54207153</v>
      </c>
      <c r="S48" s="4"/>
      <c r="T48" s="4"/>
      <c r="U48" s="5">
        <v>5124292</v>
      </c>
      <c r="V48" s="4"/>
      <c r="W48" s="4"/>
      <c r="X48" s="7">
        <f t="shared" si="1"/>
        <v>426297060.34999996</v>
      </c>
      <c r="Y48" s="4"/>
      <c r="Z48" s="4"/>
    </row>
    <row r="49" spans="1:26" s="2" customFormat="1" x14ac:dyDescent="0.25">
      <c r="A49" s="4">
        <v>636</v>
      </c>
      <c r="B49" s="6" t="s">
        <v>18</v>
      </c>
      <c r="C49" s="5">
        <v>89536649.640000001</v>
      </c>
      <c r="D49" s="5"/>
      <c r="E49" s="5"/>
      <c r="F49" s="5">
        <v>678796.31</v>
      </c>
      <c r="G49" s="5"/>
      <c r="H49" s="5"/>
      <c r="I49" s="5">
        <v>50218837.399999999</v>
      </c>
      <c r="J49" s="5"/>
      <c r="K49" s="5"/>
      <c r="L49" s="5">
        <v>23736819.09</v>
      </c>
      <c r="M49" s="5"/>
      <c r="N49" s="5"/>
      <c r="O49" s="5">
        <v>7630433.5300000003</v>
      </c>
      <c r="P49" s="5"/>
      <c r="Q49" s="5"/>
      <c r="R49" s="5">
        <v>26007117</v>
      </c>
      <c r="S49" s="4"/>
      <c r="T49" s="4"/>
      <c r="U49" s="5">
        <v>6728254</v>
      </c>
      <c r="V49" s="4"/>
      <c r="W49" s="4"/>
      <c r="X49" s="7">
        <f t="shared" si="1"/>
        <v>204536906.97</v>
      </c>
      <c r="Y49" s="4"/>
      <c r="Z49" s="4"/>
    </row>
    <row r="50" spans="1:26" s="2" customFormat="1" x14ac:dyDescent="0.25">
      <c r="A50" s="4">
        <v>632</v>
      </c>
      <c r="B50" s="6" t="s">
        <v>19</v>
      </c>
      <c r="C50" s="5">
        <v>17947919.66</v>
      </c>
      <c r="D50" s="5"/>
      <c r="E50" s="5"/>
      <c r="F50" s="5">
        <v>936380.83</v>
      </c>
      <c r="G50" s="5"/>
      <c r="H50" s="5"/>
      <c r="I50" s="5">
        <v>17451618.559999999</v>
      </c>
      <c r="J50" s="5"/>
      <c r="K50" s="5"/>
      <c r="L50" s="5">
        <v>10701888.26</v>
      </c>
      <c r="M50" s="5"/>
      <c r="N50" s="5"/>
      <c r="O50" s="5">
        <v>8114956.8600000003</v>
      </c>
      <c r="P50" s="5"/>
      <c r="Q50" s="5"/>
      <c r="R50" s="5">
        <v>7667156</v>
      </c>
      <c r="S50" s="4"/>
      <c r="T50" s="4"/>
      <c r="U50" s="5">
        <v>1524104</v>
      </c>
      <c r="V50" s="4"/>
      <c r="W50" s="4"/>
      <c r="X50" s="7">
        <f t="shared" si="1"/>
        <v>64344024.169999994</v>
      </c>
      <c r="Y50" s="4"/>
      <c r="Z50" s="4"/>
    </row>
    <row r="51" spans="1:26" s="2" customFormat="1" x14ac:dyDescent="0.25">
      <c r="A51" s="4" t="s">
        <v>20</v>
      </c>
      <c r="B51" s="6" t="s">
        <v>21</v>
      </c>
      <c r="C51" s="5">
        <f>49723504.89+52781722.42+20668412.28</f>
        <v>123173639.59</v>
      </c>
      <c r="D51" s="5"/>
      <c r="E51" s="5"/>
      <c r="F51" s="5">
        <v>2660932.9</v>
      </c>
      <c r="G51" s="5"/>
      <c r="H51" s="5"/>
      <c r="I51" s="5">
        <f>88532877.87+38995205.25+10018281.81</f>
        <v>137546364.93000001</v>
      </c>
      <c r="J51" s="5"/>
      <c r="K51" s="5"/>
      <c r="L51" s="5">
        <v>145241012.13999999</v>
      </c>
      <c r="M51" s="5"/>
      <c r="N51" s="5"/>
      <c r="O51" s="5">
        <f>38892210.66+8025887.66</f>
        <v>46918098.319999993</v>
      </c>
      <c r="P51" s="5"/>
      <c r="Q51" s="5"/>
      <c r="R51" s="5">
        <v>26787356</v>
      </c>
      <c r="S51" s="4"/>
      <c r="T51" s="4"/>
      <c r="U51" s="5">
        <v>4433140</v>
      </c>
      <c r="V51" s="4"/>
      <c r="W51" s="4"/>
      <c r="X51" s="7">
        <f t="shared" si="1"/>
        <v>486760543.88</v>
      </c>
      <c r="Y51" s="4"/>
      <c r="Z51" s="4"/>
    </row>
    <row r="52" spans="1:26" s="2" customFormat="1" x14ac:dyDescent="0.25">
      <c r="A52" s="4" t="s">
        <v>34</v>
      </c>
      <c r="B52" s="4"/>
      <c r="C52" s="5">
        <f>+D55*45</f>
        <v>21278835</v>
      </c>
      <c r="D52" s="4"/>
      <c r="E52" s="4"/>
      <c r="F52" s="9">
        <f>+G55*183</f>
        <v>6534930</v>
      </c>
      <c r="G52" s="4"/>
      <c r="H52" s="4"/>
      <c r="I52" s="5">
        <f>+J55*5</f>
        <v>1547350</v>
      </c>
      <c r="J52" s="4"/>
      <c r="K52" s="4"/>
      <c r="L52" s="7">
        <f>102*M55</f>
        <v>54029094</v>
      </c>
      <c r="M52" s="4"/>
      <c r="N52" s="4"/>
      <c r="O52" s="5">
        <f>+P55*92</f>
        <v>17647532</v>
      </c>
      <c r="P52" s="5"/>
      <c r="Q52" s="5"/>
      <c r="R52" s="5">
        <f>+S55*130</f>
        <v>24524370</v>
      </c>
      <c r="S52" s="4"/>
      <c r="T52" s="4"/>
      <c r="U52" s="5">
        <v>0</v>
      </c>
      <c r="V52" s="5"/>
      <c r="W52" s="5"/>
      <c r="X52" s="7">
        <f t="shared" si="1"/>
        <v>125562111</v>
      </c>
      <c r="Y52" s="4"/>
      <c r="Z52" s="4"/>
    </row>
    <row r="53" spans="1:26" s="2" customFormat="1" x14ac:dyDescent="0.25">
      <c r="A53" s="4" t="s">
        <v>33</v>
      </c>
      <c r="B53" s="4"/>
      <c r="C53" s="5">
        <f>36711433+58853285+9044038</f>
        <v>104608756</v>
      </c>
      <c r="D53" s="4"/>
      <c r="E53" s="4"/>
      <c r="F53" s="9">
        <v>5718024</v>
      </c>
      <c r="G53" s="4"/>
      <c r="H53" s="4"/>
      <c r="I53" s="9">
        <f>513500*79.8</f>
        <v>40977300</v>
      </c>
      <c r="J53" s="4"/>
      <c r="K53" s="4"/>
      <c r="L53" s="4">
        <v>76450000</v>
      </c>
      <c r="M53" s="4"/>
      <c r="N53" s="4"/>
      <c r="O53" s="5">
        <v>45488000</v>
      </c>
      <c r="P53" s="5"/>
      <c r="Q53" s="5"/>
      <c r="R53" s="5">
        <f>17395554+23729913</f>
        <v>41125467</v>
      </c>
      <c r="S53" s="4"/>
      <c r="T53" s="4"/>
      <c r="U53" s="5">
        <v>5085791</v>
      </c>
      <c r="V53" s="5"/>
      <c r="W53" s="5"/>
      <c r="X53" s="7">
        <f t="shared" si="1"/>
        <v>319453338</v>
      </c>
      <c r="Y53" s="4"/>
      <c r="Z53" s="4"/>
    </row>
    <row r="54" spans="1:26" s="2" customFormat="1" x14ac:dyDescent="0.25">
      <c r="A54" s="4" t="s">
        <v>23</v>
      </c>
      <c r="B54" s="4"/>
      <c r="C54" s="9">
        <f>10425382221*0.045</f>
        <v>469142199.94499999</v>
      </c>
      <c r="D54" s="4"/>
      <c r="E54" s="4"/>
      <c r="F54" s="9">
        <f>336711577*0.045</f>
        <v>15152020.965</v>
      </c>
      <c r="G54" s="4"/>
      <c r="H54" s="4"/>
      <c r="I54" s="5">
        <f>5087566328*0.045</f>
        <v>228940484.75999999</v>
      </c>
      <c r="J54" s="4"/>
      <c r="K54" s="4"/>
      <c r="L54" s="5">
        <f>8531904203*0.045</f>
        <v>383935689.13499999</v>
      </c>
      <c r="M54" s="4"/>
      <c r="N54" s="4"/>
      <c r="O54" s="5">
        <f>1886207418*0.045</f>
        <v>84879333.810000002</v>
      </c>
      <c r="P54" s="5"/>
      <c r="Q54" s="5"/>
      <c r="R54" s="5">
        <f>2966146424*0.045</f>
        <v>133476589.08</v>
      </c>
      <c r="S54" s="4"/>
      <c r="T54" s="4"/>
      <c r="U54" s="5">
        <f>288388518.78*0.045</f>
        <v>12977483.345099999</v>
      </c>
      <c r="V54" s="5"/>
      <c r="W54" s="5"/>
      <c r="X54" s="7">
        <f t="shared" si="1"/>
        <v>1328503801.0400996</v>
      </c>
      <c r="Y54" s="4"/>
      <c r="Z54" s="4"/>
    </row>
    <row r="55" spans="1:26" s="15" customFormat="1" x14ac:dyDescent="0.25">
      <c r="A55" s="3" t="s">
        <v>24</v>
      </c>
      <c r="B55" s="3"/>
      <c r="C55" s="10">
        <f>SUM(C46:C54)</f>
        <v>1446297006.845</v>
      </c>
      <c r="D55" s="11">
        <v>472863</v>
      </c>
      <c r="E55" s="12">
        <f>+C55/D55</f>
        <v>3058.5962675130008</v>
      </c>
      <c r="F55" s="11">
        <f>SUM(F46:F54)</f>
        <v>44593254.765000001</v>
      </c>
      <c r="G55" s="11">
        <v>35710</v>
      </c>
      <c r="H55" s="12">
        <f>+F55/G55</f>
        <v>1248.7609847381686</v>
      </c>
      <c r="I55" s="10">
        <f>SUM(I46:I54)</f>
        <v>747286292.37</v>
      </c>
      <c r="J55" s="11">
        <v>309470</v>
      </c>
      <c r="K55" s="12">
        <f>+I55/J55</f>
        <v>2414.7293513749314</v>
      </c>
      <c r="L55" s="10">
        <f>SUM(L46:L54)</f>
        <v>1239588712.855</v>
      </c>
      <c r="M55" s="11">
        <v>529697</v>
      </c>
      <c r="N55" s="11">
        <f>+L55/M55</f>
        <v>2340.184507095566</v>
      </c>
      <c r="O55" s="10">
        <f>SUM(O46:O54)</f>
        <v>288603519.63999999</v>
      </c>
      <c r="P55" s="11">
        <v>191821</v>
      </c>
      <c r="Q55" s="11">
        <f>+O55/P55</f>
        <v>1504.5460071629279</v>
      </c>
      <c r="R55" s="11">
        <f>SUM(R46:R54)</f>
        <v>405975517.07999998</v>
      </c>
      <c r="S55" s="11">
        <v>188649</v>
      </c>
      <c r="T55" s="10">
        <f>+R55/S55</f>
        <v>2152.0152085619325</v>
      </c>
      <c r="U55" s="11">
        <f>SUM(U46:U54)</f>
        <v>45712213.345100001</v>
      </c>
      <c r="V55" s="11">
        <v>19709</v>
      </c>
      <c r="W55" s="11">
        <f>+U55/V55</f>
        <v>2319.3573162057942</v>
      </c>
      <c r="X55" s="10">
        <f>SUM(X46:X54)</f>
        <v>4218056516.9000998</v>
      </c>
      <c r="Y55" s="10">
        <f>+D55+G55+J55+M55+P55+S55+V55</f>
        <v>1747919</v>
      </c>
      <c r="Z55" s="10">
        <f>+X55/Y55</f>
        <v>2413.1876344957059</v>
      </c>
    </row>
    <row r="56" spans="1:26" s="15" customFormat="1" x14ac:dyDescent="0.25">
      <c r="A56" s="25"/>
      <c r="B56" s="25"/>
      <c r="C56" s="26"/>
      <c r="D56" s="27"/>
      <c r="E56" s="28"/>
      <c r="F56" s="27"/>
      <c r="G56" s="27"/>
      <c r="H56" s="28"/>
      <c r="I56" s="26"/>
      <c r="J56" s="27"/>
      <c r="K56" s="28"/>
      <c r="L56" s="26"/>
      <c r="M56" s="27"/>
      <c r="N56" s="27"/>
      <c r="O56" s="26"/>
      <c r="P56" s="27"/>
      <c r="Q56" s="27"/>
      <c r="R56" s="27"/>
      <c r="S56" s="27"/>
      <c r="T56" s="26"/>
      <c r="U56" s="27"/>
      <c r="V56" s="27"/>
      <c r="W56" s="27"/>
      <c r="X56" s="26"/>
      <c r="Y56" s="26"/>
      <c r="Z56" s="26"/>
    </row>
    <row r="57" spans="1:26" s="2" customFormat="1" x14ac:dyDescent="0.25"/>
    <row r="58" spans="1:26" s="2" customFormat="1" ht="21" x14ac:dyDescent="0.35">
      <c r="A58" s="1" t="s">
        <v>28</v>
      </c>
    </row>
    <row r="59" spans="1:26" s="15" customFormat="1" x14ac:dyDescent="0.25">
      <c r="A59" s="3" t="s">
        <v>1</v>
      </c>
      <c r="B59" s="3" t="s">
        <v>27</v>
      </c>
      <c r="C59" s="3" t="s">
        <v>2</v>
      </c>
      <c r="D59" s="3" t="s">
        <v>29</v>
      </c>
      <c r="E59" s="3" t="s">
        <v>4</v>
      </c>
      <c r="F59" s="3" t="s">
        <v>5</v>
      </c>
      <c r="G59" s="3" t="s">
        <v>29</v>
      </c>
      <c r="H59" s="3" t="s">
        <v>4</v>
      </c>
      <c r="I59" s="3" t="s">
        <v>6</v>
      </c>
      <c r="J59" s="3" t="s">
        <v>29</v>
      </c>
      <c r="K59" s="3" t="s">
        <v>4</v>
      </c>
      <c r="L59" s="3" t="s">
        <v>7</v>
      </c>
      <c r="M59" s="3" t="s">
        <v>29</v>
      </c>
      <c r="N59" s="3" t="s">
        <v>4</v>
      </c>
      <c r="O59" s="3" t="s">
        <v>8</v>
      </c>
      <c r="P59" s="3" t="s">
        <v>29</v>
      </c>
      <c r="Q59" s="3" t="s">
        <v>4</v>
      </c>
      <c r="R59" s="3" t="s">
        <v>9</v>
      </c>
      <c r="S59" s="3" t="s">
        <v>29</v>
      </c>
      <c r="T59" s="3" t="s">
        <v>4</v>
      </c>
      <c r="U59" s="3" t="s">
        <v>10</v>
      </c>
      <c r="V59" s="3" t="s">
        <v>29</v>
      </c>
      <c r="W59" s="3" t="s">
        <v>4</v>
      </c>
      <c r="X59" s="3" t="s">
        <v>11</v>
      </c>
      <c r="Y59" s="3" t="s">
        <v>3</v>
      </c>
      <c r="Z59" s="3" t="s">
        <v>4</v>
      </c>
    </row>
    <row r="60" spans="1:26" s="2" customFormat="1" x14ac:dyDescent="0.25">
      <c r="A60" s="16">
        <v>630</v>
      </c>
      <c r="B60" s="16" t="s">
        <v>15</v>
      </c>
      <c r="C60" s="5">
        <v>208884907.63</v>
      </c>
      <c r="D60" s="5"/>
      <c r="E60" s="5"/>
      <c r="F60" s="5">
        <v>1981836.26</v>
      </c>
      <c r="G60" s="5"/>
      <c r="H60" s="5"/>
      <c r="I60" s="5">
        <v>147217056.47</v>
      </c>
      <c r="J60" s="5"/>
      <c r="K60" s="5"/>
      <c r="L60" s="5">
        <v>383231341.07999998</v>
      </c>
      <c r="M60" s="5"/>
      <c r="N60" s="5"/>
      <c r="O60" s="5">
        <v>11184158.42</v>
      </c>
      <c r="P60" s="5"/>
      <c r="Q60" s="8"/>
      <c r="R60" s="5">
        <v>78294513</v>
      </c>
      <c r="S60" s="4"/>
      <c r="T60" s="4"/>
      <c r="U60" s="5">
        <v>4162682</v>
      </c>
      <c r="V60" s="4"/>
      <c r="W60" s="4"/>
      <c r="X60" s="7">
        <f>+C60+F60+I60+L60+O60+R60+U60</f>
        <v>834956494.86000001</v>
      </c>
      <c r="Y60" s="4"/>
      <c r="Z60" s="4"/>
    </row>
    <row r="61" spans="1:26" s="2" customFormat="1" x14ac:dyDescent="0.25">
      <c r="A61" s="16">
        <v>631</v>
      </c>
      <c r="B61" s="16" t="s">
        <v>16</v>
      </c>
      <c r="C61" s="5">
        <v>59235502</v>
      </c>
      <c r="D61" s="5"/>
      <c r="E61" s="5"/>
      <c r="F61" s="5">
        <v>0</v>
      </c>
      <c r="G61" s="5"/>
      <c r="H61" s="5"/>
      <c r="I61" s="5">
        <v>0</v>
      </c>
      <c r="J61" s="5"/>
      <c r="K61" s="5"/>
      <c r="L61" s="5">
        <v>0</v>
      </c>
      <c r="M61" s="5"/>
      <c r="N61" s="5"/>
      <c r="O61" s="5">
        <v>0</v>
      </c>
      <c r="P61" s="5"/>
      <c r="Q61" s="8"/>
      <c r="R61" s="5">
        <v>116243741</v>
      </c>
      <c r="S61" s="4"/>
      <c r="T61" s="4"/>
      <c r="U61" s="5">
        <v>28241631</v>
      </c>
      <c r="V61" s="4"/>
      <c r="W61" s="4"/>
      <c r="X61" s="7">
        <f>+C61+F61+I61+L61+O61+R61+U61</f>
        <v>203720874</v>
      </c>
      <c r="Y61" s="4"/>
      <c r="Z61" s="4"/>
    </row>
    <row r="62" spans="1:26" s="2" customFormat="1" x14ac:dyDescent="0.25">
      <c r="A62" s="16">
        <v>663</v>
      </c>
      <c r="B62" s="16" t="s">
        <v>22</v>
      </c>
      <c r="C62" s="5">
        <v>4534288.38</v>
      </c>
      <c r="D62" s="5"/>
      <c r="E62" s="5"/>
      <c r="F62" s="5">
        <v>92825</v>
      </c>
      <c r="G62" s="5"/>
      <c r="H62" s="5"/>
      <c r="I62" s="5">
        <v>0</v>
      </c>
      <c r="J62" s="5"/>
      <c r="K62" s="5"/>
      <c r="L62" s="5">
        <v>0</v>
      </c>
      <c r="M62" s="5"/>
      <c r="N62" s="5"/>
      <c r="O62" s="5">
        <v>178147.77</v>
      </c>
      <c r="P62" s="5"/>
      <c r="Q62" s="8"/>
      <c r="R62" s="5">
        <v>2138429</v>
      </c>
      <c r="S62" s="4"/>
      <c r="T62" s="4"/>
      <c r="U62" s="5">
        <v>158609</v>
      </c>
      <c r="V62" s="4"/>
      <c r="W62" s="4"/>
      <c r="X62" s="7">
        <f>+C62+F62+I62+L62+O62+R62+U62</f>
        <v>7102299.1499999994</v>
      </c>
      <c r="Y62" s="4"/>
      <c r="Z62" s="4"/>
    </row>
    <row r="63" spans="1:26" s="2" customFormat="1" x14ac:dyDescent="0.25">
      <c r="A63" s="16" t="s">
        <v>35</v>
      </c>
      <c r="B63" s="16"/>
      <c r="C63" s="5">
        <f>+D64*45</f>
        <v>5310855</v>
      </c>
      <c r="D63" s="16"/>
      <c r="E63" s="16"/>
      <c r="F63" s="17">
        <f>+G64*183</f>
        <v>135603</v>
      </c>
      <c r="G63" s="16"/>
      <c r="H63" s="16"/>
      <c r="I63" s="5">
        <f>+J64*5</f>
        <v>448200</v>
      </c>
      <c r="J63" s="16"/>
      <c r="K63" s="16"/>
      <c r="L63" s="17">
        <f>102*M64</f>
        <v>22249056</v>
      </c>
      <c r="M63" s="16"/>
      <c r="N63" s="16"/>
      <c r="O63" s="5">
        <f>+P64*92</f>
        <v>456596</v>
      </c>
      <c r="P63" s="16"/>
      <c r="Q63" s="4"/>
      <c r="R63" s="4">
        <f>+S64*130</f>
        <v>14689870</v>
      </c>
      <c r="S63" s="4"/>
      <c r="T63" s="4"/>
      <c r="U63" s="5">
        <v>0</v>
      </c>
      <c r="V63" s="4"/>
      <c r="W63" s="4"/>
      <c r="X63" s="7">
        <f>+C63+F63+I63+L63+O63+R63+U63</f>
        <v>43290180</v>
      </c>
      <c r="Y63" s="4"/>
      <c r="Z63" s="4"/>
    </row>
    <row r="64" spans="1:26" s="15" customFormat="1" x14ac:dyDescent="0.25">
      <c r="A64" s="3" t="s">
        <v>24</v>
      </c>
      <c r="B64" s="3"/>
      <c r="C64" s="10">
        <f>SUM(C60:C63)</f>
        <v>277965553.00999999</v>
      </c>
      <c r="D64" s="11">
        <f>88900+29119</f>
        <v>118019</v>
      </c>
      <c r="E64" s="10">
        <f>+C64/D64</f>
        <v>2355.2610427981936</v>
      </c>
      <c r="F64" s="10">
        <f>SUM(F60:F63)</f>
        <v>2210264.2599999998</v>
      </c>
      <c r="G64" s="11">
        <v>741</v>
      </c>
      <c r="H64" s="10">
        <f>+F64/G64</f>
        <v>2982.8127665317138</v>
      </c>
      <c r="I64" s="10">
        <f>SUM(I60:I63)</f>
        <v>147665256.47</v>
      </c>
      <c r="J64" s="11">
        <v>89640</v>
      </c>
      <c r="K64" s="10">
        <f>+I64/J64</f>
        <v>1647.3143292057118</v>
      </c>
      <c r="L64" s="10">
        <f>SUM(L60:L63)</f>
        <v>405480397.07999998</v>
      </c>
      <c r="M64" s="11">
        <f>136342+81786</f>
        <v>218128</v>
      </c>
      <c r="N64" s="10">
        <f>+L64/M64</f>
        <v>1858.9103511699552</v>
      </c>
      <c r="O64" s="10">
        <f>SUM(O60:O63)</f>
        <v>11818902.189999999</v>
      </c>
      <c r="P64" s="11">
        <f>3651+1312</f>
        <v>4963</v>
      </c>
      <c r="Q64" s="11">
        <f>+O64/P64</f>
        <v>2381.4028188595607</v>
      </c>
      <c r="R64" s="10">
        <f>SUM(R60:R63)</f>
        <v>211366553</v>
      </c>
      <c r="S64" s="11">
        <f>84916+28083</f>
        <v>112999</v>
      </c>
      <c r="T64" s="10">
        <f>+R64/S64</f>
        <v>1870.5170222745335</v>
      </c>
      <c r="U64" s="10">
        <f>SUM(U60:U63)</f>
        <v>32562922</v>
      </c>
      <c r="V64" s="11">
        <v>11954</v>
      </c>
      <c r="W64" s="10">
        <f>+U64/V64</f>
        <v>2724.018905805588</v>
      </c>
      <c r="X64" s="10">
        <f>SUM(X60:X63)</f>
        <v>1089069848.01</v>
      </c>
      <c r="Y64" s="10">
        <f>+V64+S64+P64+M64+J64+G64+E64</f>
        <v>440780.26104279817</v>
      </c>
      <c r="Z64" s="10">
        <f>+X64/Y64</f>
        <v>2470.7772653736306</v>
      </c>
    </row>
    <row r="65" spans="3:18" s="2" customFormat="1" x14ac:dyDescent="0.25"/>
    <row r="66" spans="3:18" s="2" customFormat="1" x14ac:dyDescent="0.25">
      <c r="R66" s="14"/>
    </row>
    <row r="67" spans="3:18" s="2" customFormat="1" x14ac:dyDescent="0.25"/>
    <row r="68" spans="3:18" s="2" customFormat="1" x14ac:dyDescent="0.25">
      <c r="C68" s="14"/>
      <c r="F68" s="14"/>
      <c r="I68" s="14"/>
      <c r="O68" s="14"/>
    </row>
    <row r="69" spans="3:18" s="2" customFormat="1" x14ac:dyDescent="0.25"/>
    <row r="70" spans="3:18" s="2" customFormat="1" x14ac:dyDescent="0.25"/>
    <row r="71" spans="3:18" s="2" customFormat="1" x14ac:dyDescent="0.25"/>
    <row r="72" spans="3:18" s="2" customFormat="1" x14ac:dyDescent="0.25"/>
    <row r="73" spans="3:18" s="2" customFormat="1" x14ac:dyDescent="0.25"/>
    <row r="74" spans="3:18" s="2" customFormat="1" x14ac:dyDescent="0.25"/>
    <row r="75" spans="3:18" s="2" customFormat="1" x14ac:dyDescent="0.25"/>
    <row r="76" spans="3:18" s="2" customFormat="1" x14ac:dyDescent="0.25"/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96E8EC03365743A5217B11879CB257" ma:contentTypeVersion="0" ma:contentTypeDescription="Opprett et nytt dokument." ma:contentTypeScope="" ma:versionID="08e7b5dc8dd3cc74c3439247675a942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521bb578dab4fb5d38f1932b2d3b0a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9E476D-14F5-43A7-9B77-81839C221F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92BEF0F-BCC7-47BE-A723-CB4238A4BD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E6AA2-C4F6-4555-80B9-4CF0490D1AA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Haugom</dc:creator>
  <cp:lastModifiedBy>Steinar Johannessen</cp:lastModifiedBy>
  <dcterms:created xsi:type="dcterms:W3CDTF">2018-06-15T07:49:44Z</dcterms:created>
  <dcterms:modified xsi:type="dcterms:W3CDTF">2018-08-17T13:04:29Z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0x010100EF96E8EC03365743A5217B11879CB257</vt:lpwstr>
  </property>
</Properties>
</file>