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GA\Team Analyse\Distriktsindeksen\Distriktsindeksen 2017\"/>
    </mc:Choice>
  </mc:AlternateContent>
  <bookViews>
    <workbookView xWindow="720" yWindow="435" windowWidth="19440" windowHeight="9720" activeTab="4"/>
  </bookViews>
  <sheets>
    <sheet name="Rådata-K" sheetId="1" r:id="rId1"/>
    <sheet name="Arbeidsark-K" sheetId="3" r:id="rId2"/>
    <sheet name="Dokumentasjon" sheetId="2" r:id="rId3"/>
    <sheet name="Vekting" sheetId="4" r:id="rId4"/>
    <sheet name="Vektede tall og DI" sheetId="5" r:id="rId5"/>
  </sheets>
  <calcPr calcId="162913"/>
</workbook>
</file>

<file path=xl/calcChain.xml><?xml version="1.0" encoding="utf-8"?>
<calcChain xmlns="http://schemas.openxmlformats.org/spreadsheetml/2006/main">
  <c r="K4" i="3" l="1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C4" i="3"/>
  <c r="L4" i="3" s="1"/>
  <c r="C5" i="3"/>
  <c r="L5" i="3" s="1"/>
  <c r="C6" i="3"/>
  <c r="L6" i="3" s="1"/>
  <c r="C7" i="3"/>
  <c r="L7" i="3" s="1"/>
  <c r="C8" i="3"/>
  <c r="L8" i="3" s="1"/>
  <c r="C9" i="3"/>
  <c r="L9" i="3" s="1"/>
  <c r="C10" i="3"/>
  <c r="L10" i="3" s="1"/>
  <c r="C11" i="3"/>
  <c r="L11" i="3" s="1"/>
  <c r="C12" i="3"/>
  <c r="L12" i="3" s="1"/>
  <c r="C13" i="3"/>
  <c r="L13" i="3" s="1"/>
  <c r="C14" i="3"/>
  <c r="L14" i="3" s="1"/>
  <c r="C15" i="3"/>
  <c r="L15" i="3" s="1"/>
  <c r="C16" i="3"/>
  <c r="L16" i="3" s="1"/>
  <c r="C17" i="3"/>
  <c r="L17" i="3" s="1"/>
  <c r="C18" i="3"/>
  <c r="L18" i="3" s="1"/>
  <c r="C19" i="3"/>
  <c r="L19" i="3" s="1"/>
  <c r="C20" i="3"/>
  <c r="L20" i="3" s="1"/>
  <c r="C21" i="3"/>
  <c r="L21" i="3" s="1"/>
  <c r="C22" i="3"/>
  <c r="L22" i="3" s="1"/>
  <c r="C23" i="3"/>
  <c r="L23" i="3" s="1"/>
  <c r="C24" i="3"/>
  <c r="L24" i="3" s="1"/>
  <c r="C25" i="3"/>
  <c r="L25" i="3" s="1"/>
  <c r="C26" i="3"/>
  <c r="L26" i="3" s="1"/>
  <c r="C27" i="3"/>
  <c r="L27" i="3" s="1"/>
  <c r="C28" i="3"/>
  <c r="L28" i="3" s="1"/>
  <c r="C29" i="3"/>
  <c r="L29" i="3" s="1"/>
  <c r="C30" i="3"/>
  <c r="L30" i="3" s="1"/>
  <c r="C31" i="3"/>
  <c r="L31" i="3" s="1"/>
  <c r="C32" i="3"/>
  <c r="L32" i="3" s="1"/>
  <c r="C33" i="3"/>
  <c r="L33" i="3" s="1"/>
  <c r="C34" i="3"/>
  <c r="L34" i="3" s="1"/>
  <c r="C35" i="3"/>
  <c r="L35" i="3" s="1"/>
  <c r="C36" i="3"/>
  <c r="L36" i="3" s="1"/>
  <c r="C37" i="3"/>
  <c r="L37" i="3" s="1"/>
  <c r="C38" i="3"/>
  <c r="L38" i="3" s="1"/>
  <c r="C39" i="3"/>
  <c r="L39" i="3" s="1"/>
  <c r="C40" i="3"/>
  <c r="L40" i="3" s="1"/>
  <c r="C41" i="3"/>
  <c r="L41" i="3" s="1"/>
  <c r="C42" i="3"/>
  <c r="L42" i="3" s="1"/>
  <c r="C43" i="3"/>
  <c r="L43" i="3" s="1"/>
  <c r="C44" i="3"/>
  <c r="L44" i="3" s="1"/>
  <c r="C45" i="3"/>
  <c r="L45" i="3" s="1"/>
  <c r="C46" i="3"/>
  <c r="L46" i="3" s="1"/>
  <c r="C47" i="3"/>
  <c r="L47" i="3" s="1"/>
  <c r="C48" i="3"/>
  <c r="L48" i="3" s="1"/>
  <c r="C49" i="3"/>
  <c r="L49" i="3" s="1"/>
  <c r="C50" i="3"/>
  <c r="L50" i="3" s="1"/>
  <c r="C51" i="3"/>
  <c r="L51" i="3" s="1"/>
  <c r="C52" i="3"/>
  <c r="L52" i="3" s="1"/>
  <c r="C53" i="3"/>
  <c r="L53" i="3" s="1"/>
  <c r="C54" i="3"/>
  <c r="L54" i="3" s="1"/>
  <c r="C55" i="3"/>
  <c r="L55" i="3" s="1"/>
  <c r="C56" i="3"/>
  <c r="L56" i="3" s="1"/>
  <c r="C57" i="3"/>
  <c r="L57" i="3" s="1"/>
  <c r="C58" i="3"/>
  <c r="L58" i="3" s="1"/>
  <c r="C59" i="3"/>
  <c r="L59" i="3" s="1"/>
  <c r="C60" i="3"/>
  <c r="L60" i="3" s="1"/>
  <c r="C61" i="3"/>
  <c r="L61" i="3" s="1"/>
  <c r="C62" i="3"/>
  <c r="L62" i="3" s="1"/>
  <c r="C63" i="3"/>
  <c r="L63" i="3" s="1"/>
  <c r="C64" i="3"/>
  <c r="L64" i="3" s="1"/>
  <c r="C65" i="3"/>
  <c r="L65" i="3" s="1"/>
  <c r="C66" i="3"/>
  <c r="L66" i="3" s="1"/>
  <c r="C67" i="3"/>
  <c r="L67" i="3" s="1"/>
  <c r="C68" i="3"/>
  <c r="L68" i="3" s="1"/>
  <c r="C69" i="3"/>
  <c r="L69" i="3" s="1"/>
  <c r="C70" i="3"/>
  <c r="L70" i="3" s="1"/>
  <c r="C71" i="3"/>
  <c r="L71" i="3" s="1"/>
  <c r="C72" i="3"/>
  <c r="L72" i="3" s="1"/>
  <c r="C73" i="3"/>
  <c r="L73" i="3" s="1"/>
  <c r="C74" i="3"/>
  <c r="L74" i="3" s="1"/>
  <c r="C75" i="3"/>
  <c r="L75" i="3" s="1"/>
  <c r="C76" i="3"/>
  <c r="L76" i="3" s="1"/>
  <c r="C77" i="3"/>
  <c r="L77" i="3" s="1"/>
  <c r="C78" i="3"/>
  <c r="L78" i="3" s="1"/>
  <c r="C79" i="3"/>
  <c r="L79" i="3" s="1"/>
  <c r="C80" i="3"/>
  <c r="L80" i="3" s="1"/>
  <c r="C81" i="3"/>
  <c r="L81" i="3" s="1"/>
  <c r="C82" i="3"/>
  <c r="L82" i="3" s="1"/>
  <c r="C83" i="3"/>
  <c r="L83" i="3" s="1"/>
  <c r="C84" i="3"/>
  <c r="L84" i="3" s="1"/>
  <c r="C85" i="3"/>
  <c r="L85" i="3" s="1"/>
  <c r="C86" i="3"/>
  <c r="L86" i="3" s="1"/>
  <c r="C87" i="3"/>
  <c r="L87" i="3" s="1"/>
  <c r="C88" i="3"/>
  <c r="L88" i="3" s="1"/>
  <c r="C89" i="3"/>
  <c r="L89" i="3" s="1"/>
  <c r="C90" i="3"/>
  <c r="L90" i="3" s="1"/>
  <c r="C91" i="3"/>
  <c r="L91" i="3" s="1"/>
  <c r="C92" i="3"/>
  <c r="L92" i="3" s="1"/>
  <c r="C93" i="3"/>
  <c r="L93" i="3" s="1"/>
  <c r="C94" i="3"/>
  <c r="L94" i="3" s="1"/>
  <c r="C95" i="3"/>
  <c r="L95" i="3" s="1"/>
  <c r="C96" i="3"/>
  <c r="L96" i="3" s="1"/>
  <c r="C97" i="3"/>
  <c r="L97" i="3" s="1"/>
  <c r="C98" i="3"/>
  <c r="L98" i="3" s="1"/>
  <c r="C99" i="3"/>
  <c r="L99" i="3" s="1"/>
  <c r="C100" i="3"/>
  <c r="L100" i="3" s="1"/>
  <c r="C101" i="3"/>
  <c r="L101" i="3" s="1"/>
  <c r="C102" i="3"/>
  <c r="L102" i="3" s="1"/>
  <c r="C103" i="3"/>
  <c r="L103" i="3" s="1"/>
  <c r="C104" i="3"/>
  <c r="L104" i="3" s="1"/>
  <c r="C105" i="3"/>
  <c r="L105" i="3" s="1"/>
  <c r="C106" i="3"/>
  <c r="L106" i="3" s="1"/>
  <c r="C107" i="3"/>
  <c r="L107" i="3" s="1"/>
  <c r="C108" i="3"/>
  <c r="L108" i="3" s="1"/>
  <c r="C109" i="3"/>
  <c r="L109" i="3" s="1"/>
  <c r="C110" i="3"/>
  <c r="L110" i="3" s="1"/>
  <c r="C111" i="3"/>
  <c r="L111" i="3" s="1"/>
  <c r="C112" i="3"/>
  <c r="L112" i="3" s="1"/>
  <c r="C113" i="3"/>
  <c r="L113" i="3" s="1"/>
  <c r="C114" i="3"/>
  <c r="L114" i="3" s="1"/>
  <c r="C115" i="3"/>
  <c r="L115" i="3" s="1"/>
  <c r="C116" i="3"/>
  <c r="L116" i="3" s="1"/>
  <c r="C117" i="3"/>
  <c r="L117" i="3" s="1"/>
  <c r="C118" i="3"/>
  <c r="L118" i="3" s="1"/>
  <c r="C119" i="3"/>
  <c r="L119" i="3" s="1"/>
  <c r="C120" i="3"/>
  <c r="L120" i="3" s="1"/>
  <c r="C121" i="3"/>
  <c r="L121" i="3" s="1"/>
  <c r="C122" i="3"/>
  <c r="L122" i="3" s="1"/>
  <c r="C123" i="3"/>
  <c r="L123" i="3" s="1"/>
  <c r="C124" i="3"/>
  <c r="L124" i="3" s="1"/>
  <c r="C125" i="3"/>
  <c r="L125" i="3" s="1"/>
  <c r="C126" i="3"/>
  <c r="L126" i="3" s="1"/>
  <c r="C127" i="3"/>
  <c r="L127" i="3" s="1"/>
  <c r="C128" i="3"/>
  <c r="L128" i="3" s="1"/>
  <c r="C129" i="3"/>
  <c r="L129" i="3" s="1"/>
  <c r="C130" i="3"/>
  <c r="L130" i="3" s="1"/>
  <c r="C131" i="3"/>
  <c r="L131" i="3" s="1"/>
  <c r="C132" i="3"/>
  <c r="L132" i="3" s="1"/>
  <c r="C133" i="3"/>
  <c r="L133" i="3" s="1"/>
  <c r="C134" i="3"/>
  <c r="L134" i="3" s="1"/>
  <c r="C135" i="3"/>
  <c r="L135" i="3" s="1"/>
  <c r="C136" i="3"/>
  <c r="L136" i="3" s="1"/>
  <c r="C137" i="3"/>
  <c r="L137" i="3" s="1"/>
  <c r="C138" i="3"/>
  <c r="L138" i="3" s="1"/>
  <c r="C139" i="3"/>
  <c r="L139" i="3" s="1"/>
  <c r="C140" i="3"/>
  <c r="L140" i="3" s="1"/>
  <c r="C141" i="3"/>
  <c r="L141" i="3" s="1"/>
  <c r="C142" i="3"/>
  <c r="L142" i="3" s="1"/>
  <c r="C143" i="3"/>
  <c r="L143" i="3" s="1"/>
  <c r="C144" i="3"/>
  <c r="L144" i="3" s="1"/>
  <c r="C145" i="3"/>
  <c r="L145" i="3" s="1"/>
  <c r="C146" i="3"/>
  <c r="L146" i="3" s="1"/>
  <c r="C147" i="3"/>
  <c r="L147" i="3" s="1"/>
  <c r="C148" i="3"/>
  <c r="L148" i="3" s="1"/>
  <c r="C149" i="3"/>
  <c r="L149" i="3" s="1"/>
  <c r="C150" i="3"/>
  <c r="L150" i="3" s="1"/>
  <c r="C151" i="3"/>
  <c r="L151" i="3" s="1"/>
  <c r="C152" i="3"/>
  <c r="L152" i="3" s="1"/>
  <c r="C153" i="3"/>
  <c r="L153" i="3" s="1"/>
  <c r="C154" i="3"/>
  <c r="L154" i="3" s="1"/>
  <c r="C155" i="3"/>
  <c r="L155" i="3" s="1"/>
  <c r="C156" i="3"/>
  <c r="L156" i="3" s="1"/>
  <c r="C157" i="3"/>
  <c r="L157" i="3" s="1"/>
  <c r="C158" i="3"/>
  <c r="L158" i="3" s="1"/>
  <c r="C159" i="3"/>
  <c r="L159" i="3" s="1"/>
  <c r="C160" i="3"/>
  <c r="L160" i="3" s="1"/>
  <c r="C161" i="3"/>
  <c r="L161" i="3" s="1"/>
  <c r="C162" i="3"/>
  <c r="L162" i="3" s="1"/>
  <c r="C163" i="3"/>
  <c r="L163" i="3" s="1"/>
  <c r="C164" i="3"/>
  <c r="L164" i="3" s="1"/>
  <c r="C165" i="3"/>
  <c r="L165" i="3" s="1"/>
  <c r="C166" i="3"/>
  <c r="L166" i="3" s="1"/>
  <c r="C167" i="3"/>
  <c r="L167" i="3" s="1"/>
  <c r="C168" i="3"/>
  <c r="L168" i="3" s="1"/>
  <c r="C169" i="3"/>
  <c r="L169" i="3" s="1"/>
  <c r="C170" i="3"/>
  <c r="L170" i="3" s="1"/>
  <c r="C171" i="3"/>
  <c r="L171" i="3" s="1"/>
  <c r="C172" i="3"/>
  <c r="L172" i="3" s="1"/>
  <c r="C173" i="3"/>
  <c r="L173" i="3" s="1"/>
  <c r="C174" i="3"/>
  <c r="L174" i="3" s="1"/>
  <c r="C175" i="3"/>
  <c r="L175" i="3" s="1"/>
  <c r="C176" i="3"/>
  <c r="L176" i="3" s="1"/>
  <c r="C177" i="3"/>
  <c r="L177" i="3" s="1"/>
  <c r="C178" i="3"/>
  <c r="L178" i="3" s="1"/>
  <c r="C179" i="3"/>
  <c r="L179" i="3" s="1"/>
  <c r="C180" i="3"/>
  <c r="L180" i="3" s="1"/>
  <c r="C181" i="3"/>
  <c r="L181" i="3" s="1"/>
  <c r="C182" i="3"/>
  <c r="L182" i="3" s="1"/>
  <c r="C183" i="3"/>
  <c r="L183" i="3" s="1"/>
  <c r="C184" i="3"/>
  <c r="L184" i="3" s="1"/>
  <c r="C185" i="3"/>
  <c r="L185" i="3" s="1"/>
  <c r="C186" i="3"/>
  <c r="L186" i="3" s="1"/>
  <c r="C187" i="3"/>
  <c r="L187" i="3" s="1"/>
  <c r="C188" i="3"/>
  <c r="L188" i="3" s="1"/>
  <c r="C189" i="3"/>
  <c r="L189" i="3" s="1"/>
  <c r="C190" i="3"/>
  <c r="L190" i="3" s="1"/>
  <c r="C191" i="3"/>
  <c r="L191" i="3" s="1"/>
  <c r="C192" i="3"/>
  <c r="L192" i="3" s="1"/>
  <c r="C193" i="3"/>
  <c r="L193" i="3" s="1"/>
  <c r="C194" i="3"/>
  <c r="L194" i="3" s="1"/>
  <c r="C195" i="3"/>
  <c r="L195" i="3" s="1"/>
  <c r="C196" i="3"/>
  <c r="L196" i="3" s="1"/>
  <c r="C197" i="3"/>
  <c r="L197" i="3" s="1"/>
  <c r="C198" i="3"/>
  <c r="L198" i="3" s="1"/>
  <c r="C199" i="3"/>
  <c r="L199" i="3" s="1"/>
  <c r="C200" i="3"/>
  <c r="L200" i="3" s="1"/>
  <c r="C201" i="3"/>
  <c r="L201" i="3" s="1"/>
  <c r="C202" i="3"/>
  <c r="L202" i="3" s="1"/>
  <c r="C203" i="3"/>
  <c r="L203" i="3" s="1"/>
  <c r="C204" i="3"/>
  <c r="L204" i="3" s="1"/>
  <c r="C205" i="3"/>
  <c r="L205" i="3" s="1"/>
  <c r="C206" i="3"/>
  <c r="L206" i="3" s="1"/>
  <c r="C207" i="3"/>
  <c r="L207" i="3" s="1"/>
  <c r="C208" i="3"/>
  <c r="L208" i="3" s="1"/>
  <c r="C209" i="3"/>
  <c r="L209" i="3" s="1"/>
  <c r="C210" i="3"/>
  <c r="L210" i="3" s="1"/>
  <c r="C211" i="3"/>
  <c r="L211" i="3" s="1"/>
  <c r="C212" i="3"/>
  <c r="L212" i="3" s="1"/>
  <c r="C213" i="3"/>
  <c r="L213" i="3" s="1"/>
  <c r="C214" i="3"/>
  <c r="L214" i="3" s="1"/>
  <c r="C215" i="3"/>
  <c r="L215" i="3" s="1"/>
  <c r="C216" i="3"/>
  <c r="L216" i="3" s="1"/>
  <c r="C217" i="3"/>
  <c r="L217" i="3" s="1"/>
  <c r="C218" i="3"/>
  <c r="L218" i="3" s="1"/>
  <c r="C219" i="3"/>
  <c r="L219" i="3" s="1"/>
  <c r="C220" i="3"/>
  <c r="L220" i="3" s="1"/>
  <c r="C221" i="3"/>
  <c r="L221" i="3" s="1"/>
  <c r="C222" i="3"/>
  <c r="L222" i="3" s="1"/>
  <c r="C223" i="3"/>
  <c r="L223" i="3" s="1"/>
  <c r="C224" i="3"/>
  <c r="L224" i="3" s="1"/>
  <c r="C225" i="3"/>
  <c r="L225" i="3" s="1"/>
  <c r="C226" i="3"/>
  <c r="L226" i="3" s="1"/>
  <c r="C227" i="3"/>
  <c r="L227" i="3" s="1"/>
  <c r="C228" i="3"/>
  <c r="L228" i="3" s="1"/>
  <c r="C229" i="3"/>
  <c r="L229" i="3" s="1"/>
  <c r="C230" i="3"/>
  <c r="L230" i="3" s="1"/>
  <c r="C231" i="3"/>
  <c r="L231" i="3" s="1"/>
  <c r="C232" i="3"/>
  <c r="L232" i="3" s="1"/>
  <c r="C233" i="3"/>
  <c r="L233" i="3" s="1"/>
  <c r="C234" i="3"/>
  <c r="L234" i="3" s="1"/>
  <c r="C235" i="3"/>
  <c r="L235" i="3" s="1"/>
  <c r="C236" i="3"/>
  <c r="L236" i="3" s="1"/>
  <c r="C237" i="3"/>
  <c r="L237" i="3" s="1"/>
  <c r="C238" i="3"/>
  <c r="L238" i="3" s="1"/>
  <c r="C239" i="3"/>
  <c r="L239" i="3" s="1"/>
  <c r="C240" i="3"/>
  <c r="L240" i="3" s="1"/>
  <c r="C241" i="3"/>
  <c r="L241" i="3" s="1"/>
  <c r="C242" i="3"/>
  <c r="L242" i="3" s="1"/>
  <c r="C243" i="3"/>
  <c r="L243" i="3" s="1"/>
  <c r="C244" i="3"/>
  <c r="L244" i="3" s="1"/>
  <c r="C245" i="3"/>
  <c r="L245" i="3" s="1"/>
  <c r="C246" i="3"/>
  <c r="L246" i="3" s="1"/>
  <c r="C247" i="3"/>
  <c r="L247" i="3" s="1"/>
  <c r="C248" i="3"/>
  <c r="L248" i="3" s="1"/>
  <c r="C249" i="3"/>
  <c r="L249" i="3" s="1"/>
  <c r="C250" i="3"/>
  <c r="L250" i="3" s="1"/>
  <c r="C251" i="3"/>
  <c r="L251" i="3" s="1"/>
  <c r="C252" i="3"/>
  <c r="L252" i="3" s="1"/>
  <c r="C253" i="3"/>
  <c r="L253" i="3" s="1"/>
  <c r="C254" i="3"/>
  <c r="L254" i="3" s="1"/>
  <c r="C255" i="3"/>
  <c r="L255" i="3" s="1"/>
  <c r="C256" i="3"/>
  <c r="L256" i="3" s="1"/>
  <c r="C257" i="3"/>
  <c r="L257" i="3" s="1"/>
  <c r="C258" i="3"/>
  <c r="L258" i="3" s="1"/>
  <c r="C259" i="3"/>
  <c r="L259" i="3" s="1"/>
  <c r="C260" i="3"/>
  <c r="L260" i="3" s="1"/>
  <c r="C261" i="3"/>
  <c r="L261" i="3" s="1"/>
  <c r="C262" i="3"/>
  <c r="L262" i="3" s="1"/>
  <c r="C263" i="3"/>
  <c r="L263" i="3" s="1"/>
  <c r="C264" i="3"/>
  <c r="L264" i="3" s="1"/>
  <c r="C265" i="3"/>
  <c r="L265" i="3" s="1"/>
  <c r="C266" i="3"/>
  <c r="L266" i="3" s="1"/>
  <c r="C267" i="3"/>
  <c r="L267" i="3" s="1"/>
  <c r="C268" i="3"/>
  <c r="L268" i="3" s="1"/>
  <c r="C269" i="3"/>
  <c r="L269" i="3" s="1"/>
  <c r="C270" i="3"/>
  <c r="L270" i="3" s="1"/>
  <c r="C271" i="3"/>
  <c r="L271" i="3" s="1"/>
  <c r="C272" i="3"/>
  <c r="L272" i="3" s="1"/>
  <c r="C273" i="3"/>
  <c r="L273" i="3" s="1"/>
  <c r="C274" i="3"/>
  <c r="L274" i="3" s="1"/>
  <c r="C275" i="3"/>
  <c r="L275" i="3" s="1"/>
  <c r="C276" i="3"/>
  <c r="L276" i="3" s="1"/>
  <c r="C277" i="3"/>
  <c r="L277" i="3" s="1"/>
  <c r="C278" i="3"/>
  <c r="L278" i="3" s="1"/>
  <c r="C279" i="3"/>
  <c r="L279" i="3" s="1"/>
  <c r="C280" i="3"/>
  <c r="L280" i="3" s="1"/>
  <c r="C281" i="3"/>
  <c r="L281" i="3" s="1"/>
  <c r="C282" i="3"/>
  <c r="L282" i="3" s="1"/>
  <c r="C283" i="3"/>
  <c r="L283" i="3" s="1"/>
  <c r="C284" i="3"/>
  <c r="L284" i="3" s="1"/>
  <c r="C285" i="3"/>
  <c r="L285" i="3" s="1"/>
  <c r="C286" i="3"/>
  <c r="L286" i="3" s="1"/>
  <c r="C287" i="3"/>
  <c r="L287" i="3" s="1"/>
  <c r="C288" i="3"/>
  <c r="L288" i="3" s="1"/>
  <c r="C289" i="3"/>
  <c r="L289" i="3" s="1"/>
  <c r="C290" i="3"/>
  <c r="L290" i="3" s="1"/>
  <c r="C291" i="3"/>
  <c r="L291" i="3" s="1"/>
  <c r="C292" i="3"/>
  <c r="L292" i="3" s="1"/>
  <c r="C293" i="3"/>
  <c r="L293" i="3" s="1"/>
  <c r="C294" i="3"/>
  <c r="L294" i="3" s="1"/>
  <c r="C295" i="3"/>
  <c r="L295" i="3" s="1"/>
  <c r="C296" i="3"/>
  <c r="L296" i="3" s="1"/>
  <c r="C297" i="3"/>
  <c r="L297" i="3" s="1"/>
  <c r="C298" i="3"/>
  <c r="L298" i="3" s="1"/>
  <c r="C299" i="3"/>
  <c r="L299" i="3" s="1"/>
  <c r="C300" i="3"/>
  <c r="L300" i="3" s="1"/>
  <c r="C301" i="3"/>
  <c r="L301" i="3" s="1"/>
  <c r="C302" i="3"/>
  <c r="L302" i="3" s="1"/>
  <c r="C303" i="3"/>
  <c r="L303" i="3" s="1"/>
  <c r="C304" i="3"/>
  <c r="L304" i="3" s="1"/>
  <c r="C305" i="3"/>
  <c r="L305" i="3" s="1"/>
  <c r="C306" i="3"/>
  <c r="L306" i="3" s="1"/>
  <c r="C307" i="3"/>
  <c r="L307" i="3" s="1"/>
  <c r="C308" i="3"/>
  <c r="L308" i="3" s="1"/>
  <c r="C309" i="3"/>
  <c r="L309" i="3" s="1"/>
  <c r="C310" i="3"/>
  <c r="L310" i="3" s="1"/>
  <c r="C311" i="3"/>
  <c r="L311" i="3" s="1"/>
  <c r="C312" i="3"/>
  <c r="L312" i="3" s="1"/>
  <c r="C313" i="3"/>
  <c r="L313" i="3" s="1"/>
  <c r="C314" i="3"/>
  <c r="L314" i="3" s="1"/>
  <c r="C315" i="3"/>
  <c r="L315" i="3" s="1"/>
  <c r="C316" i="3"/>
  <c r="L316" i="3" s="1"/>
  <c r="C317" i="3"/>
  <c r="L317" i="3" s="1"/>
  <c r="C318" i="3"/>
  <c r="L318" i="3" s="1"/>
  <c r="C319" i="3"/>
  <c r="L319" i="3" s="1"/>
  <c r="C320" i="3"/>
  <c r="L320" i="3" s="1"/>
  <c r="C321" i="3"/>
  <c r="L321" i="3" s="1"/>
  <c r="C322" i="3"/>
  <c r="L322" i="3" s="1"/>
  <c r="C323" i="3"/>
  <c r="L323" i="3" s="1"/>
  <c r="C324" i="3"/>
  <c r="L324" i="3" s="1"/>
  <c r="C325" i="3"/>
  <c r="L325" i="3" s="1"/>
  <c r="C326" i="3"/>
  <c r="L326" i="3" s="1"/>
  <c r="C327" i="3"/>
  <c r="L327" i="3" s="1"/>
  <c r="C328" i="3"/>
  <c r="L328" i="3" s="1"/>
  <c r="C329" i="3"/>
  <c r="L329" i="3" s="1"/>
  <c r="C330" i="3"/>
  <c r="L330" i="3" s="1"/>
  <c r="C331" i="3"/>
  <c r="L331" i="3" s="1"/>
  <c r="C332" i="3"/>
  <c r="L332" i="3" s="1"/>
  <c r="C333" i="3"/>
  <c r="L333" i="3" s="1"/>
  <c r="C334" i="3"/>
  <c r="L334" i="3" s="1"/>
  <c r="C335" i="3"/>
  <c r="L335" i="3" s="1"/>
  <c r="C336" i="3"/>
  <c r="L336" i="3" s="1"/>
  <c r="C337" i="3"/>
  <c r="L337" i="3" s="1"/>
  <c r="C338" i="3"/>
  <c r="L338" i="3" s="1"/>
  <c r="C339" i="3"/>
  <c r="L339" i="3" s="1"/>
  <c r="C340" i="3"/>
  <c r="L340" i="3" s="1"/>
  <c r="C341" i="3"/>
  <c r="L341" i="3" s="1"/>
  <c r="C342" i="3"/>
  <c r="L342" i="3" s="1"/>
  <c r="C343" i="3"/>
  <c r="L343" i="3" s="1"/>
  <c r="C344" i="3"/>
  <c r="L344" i="3" s="1"/>
  <c r="C345" i="3"/>
  <c r="L345" i="3" s="1"/>
  <c r="C346" i="3"/>
  <c r="L346" i="3" s="1"/>
  <c r="C347" i="3"/>
  <c r="L347" i="3" s="1"/>
  <c r="C348" i="3"/>
  <c r="L348" i="3" s="1"/>
  <c r="C349" i="3"/>
  <c r="L349" i="3" s="1"/>
  <c r="C350" i="3"/>
  <c r="L350" i="3" s="1"/>
  <c r="C351" i="3"/>
  <c r="L351" i="3" s="1"/>
  <c r="C352" i="3"/>
  <c r="L352" i="3" s="1"/>
  <c r="C353" i="3"/>
  <c r="L353" i="3" s="1"/>
  <c r="C354" i="3"/>
  <c r="L354" i="3" s="1"/>
  <c r="C355" i="3"/>
  <c r="L355" i="3" s="1"/>
  <c r="C356" i="3"/>
  <c r="L356" i="3" s="1"/>
  <c r="C357" i="3"/>
  <c r="L357" i="3" s="1"/>
  <c r="C358" i="3"/>
  <c r="L358" i="3" s="1"/>
  <c r="C359" i="3"/>
  <c r="L359" i="3" s="1"/>
  <c r="C360" i="3"/>
  <c r="L360" i="3" s="1"/>
  <c r="C361" i="3"/>
  <c r="L361" i="3" s="1"/>
  <c r="C362" i="3"/>
  <c r="L362" i="3" s="1"/>
  <c r="C363" i="3"/>
  <c r="L363" i="3" s="1"/>
  <c r="C364" i="3"/>
  <c r="L364" i="3" s="1"/>
  <c r="C365" i="3"/>
  <c r="L365" i="3" s="1"/>
  <c r="C366" i="3"/>
  <c r="L366" i="3" s="1"/>
  <c r="C367" i="3"/>
  <c r="L367" i="3" s="1"/>
  <c r="C368" i="3"/>
  <c r="L368" i="3" s="1"/>
  <c r="C369" i="3"/>
  <c r="L369" i="3" s="1"/>
  <c r="C370" i="3"/>
  <c r="L370" i="3" s="1"/>
  <c r="C371" i="3"/>
  <c r="L371" i="3" s="1"/>
  <c r="C372" i="3"/>
  <c r="L372" i="3" s="1"/>
  <c r="C373" i="3"/>
  <c r="L373" i="3" s="1"/>
  <c r="C374" i="3"/>
  <c r="L374" i="3" s="1"/>
  <c r="C375" i="3"/>
  <c r="L375" i="3" s="1"/>
  <c r="C376" i="3"/>
  <c r="L376" i="3" s="1"/>
  <c r="C377" i="3"/>
  <c r="L377" i="3" s="1"/>
  <c r="C378" i="3"/>
  <c r="L378" i="3" s="1"/>
  <c r="C379" i="3"/>
  <c r="L379" i="3" s="1"/>
  <c r="C380" i="3"/>
  <c r="L380" i="3" s="1"/>
  <c r="C381" i="3"/>
  <c r="L381" i="3" s="1"/>
  <c r="C382" i="3"/>
  <c r="L382" i="3" s="1"/>
  <c r="C383" i="3"/>
  <c r="L383" i="3" s="1"/>
  <c r="C384" i="3"/>
  <c r="L384" i="3" s="1"/>
  <c r="C385" i="3"/>
  <c r="L385" i="3" s="1"/>
  <c r="C386" i="3"/>
  <c r="L386" i="3" s="1"/>
  <c r="C387" i="3"/>
  <c r="L387" i="3" s="1"/>
  <c r="C388" i="3"/>
  <c r="L388" i="3" s="1"/>
  <c r="C389" i="3"/>
  <c r="L389" i="3" s="1"/>
  <c r="C390" i="3"/>
  <c r="L390" i="3" s="1"/>
  <c r="C391" i="3"/>
  <c r="L391" i="3" s="1"/>
  <c r="C392" i="3"/>
  <c r="L392" i="3" s="1"/>
  <c r="C393" i="3"/>
  <c r="L393" i="3" s="1"/>
  <c r="C394" i="3"/>
  <c r="L394" i="3" s="1"/>
  <c r="C395" i="3"/>
  <c r="L395" i="3" s="1"/>
  <c r="C396" i="3"/>
  <c r="L396" i="3" s="1"/>
  <c r="C397" i="3"/>
  <c r="L397" i="3" s="1"/>
  <c r="C398" i="3"/>
  <c r="L398" i="3" s="1"/>
  <c r="C399" i="3"/>
  <c r="L399" i="3" s="1"/>
  <c r="C400" i="3"/>
  <c r="L400" i="3" s="1"/>
  <c r="C401" i="3"/>
  <c r="L401" i="3" s="1"/>
  <c r="C402" i="3"/>
  <c r="L402" i="3" s="1"/>
  <c r="C403" i="3"/>
  <c r="L403" i="3" s="1"/>
  <c r="C404" i="3"/>
  <c r="L404" i="3" s="1"/>
  <c r="C405" i="3"/>
  <c r="L405" i="3" s="1"/>
  <c r="C406" i="3"/>
  <c r="L406" i="3" s="1"/>
  <c r="C407" i="3"/>
  <c r="L407" i="3" s="1"/>
  <c r="C408" i="3"/>
  <c r="L408" i="3" s="1"/>
  <c r="C409" i="3"/>
  <c r="L409" i="3" s="1"/>
  <c r="C410" i="3"/>
  <c r="L410" i="3" s="1"/>
  <c r="C411" i="3"/>
  <c r="L411" i="3" s="1"/>
  <c r="C412" i="3"/>
  <c r="L412" i="3" s="1"/>
  <c r="C413" i="3"/>
  <c r="L413" i="3" s="1"/>
  <c r="C414" i="3"/>
  <c r="L414" i="3" s="1"/>
  <c r="C415" i="3"/>
  <c r="L415" i="3" s="1"/>
  <c r="C416" i="3"/>
  <c r="L416" i="3" s="1"/>
  <c r="C417" i="3"/>
  <c r="L417" i="3" s="1"/>
  <c r="C418" i="3"/>
  <c r="L418" i="3" s="1"/>
  <c r="C419" i="3"/>
  <c r="L419" i="3" s="1"/>
  <c r="C420" i="3"/>
  <c r="L420" i="3" s="1"/>
  <c r="C421" i="3"/>
  <c r="L421" i="3" s="1"/>
  <c r="C422" i="3"/>
  <c r="L422" i="3" s="1"/>
  <c r="C423" i="3"/>
  <c r="L423" i="3" s="1"/>
  <c r="C424" i="3"/>
  <c r="L424" i="3" s="1"/>
  <c r="T336" i="1"/>
  <c r="O336" i="1"/>
  <c r="P336" i="1"/>
  <c r="Q336" i="1"/>
  <c r="R336" i="1"/>
  <c r="S336" i="1"/>
  <c r="O337" i="1"/>
  <c r="P337" i="1"/>
  <c r="Q337" i="1"/>
  <c r="R337" i="1"/>
  <c r="S337" i="1"/>
  <c r="T337" i="1"/>
  <c r="O338" i="1"/>
  <c r="P338" i="1"/>
  <c r="Q338" i="1"/>
  <c r="R338" i="1"/>
  <c r="S338" i="1"/>
  <c r="T338" i="1"/>
  <c r="O339" i="1"/>
  <c r="P339" i="1"/>
  <c r="Q339" i="1"/>
  <c r="R339" i="1"/>
  <c r="S339" i="1"/>
  <c r="T339" i="1"/>
  <c r="O340" i="1"/>
  <c r="P340" i="1"/>
  <c r="Q340" i="1"/>
  <c r="R340" i="1"/>
  <c r="S340" i="1"/>
  <c r="T340" i="1"/>
  <c r="O341" i="1"/>
  <c r="P341" i="1"/>
  <c r="Q341" i="1"/>
  <c r="R341" i="1"/>
  <c r="S341" i="1"/>
  <c r="T341" i="1"/>
  <c r="O342" i="1"/>
  <c r="P342" i="1"/>
  <c r="Q342" i="1"/>
  <c r="R342" i="1"/>
  <c r="S342" i="1"/>
  <c r="T342" i="1"/>
  <c r="O343" i="1"/>
  <c r="P343" i="1"/>
  <c r="Q343" i="1"/>
  <c r="R343" i="1"/>
  <c r="S343" i="1"/>
  <c r="T343" i="1"/>
  <c r="O344" i="1"/>
  <c r="P344" i="1"/>
  <c r="Q344" i="1"/>
  <c r="R344" i="1"/>
  <c r="S344" i="1"/>
  <c r="T344" i="1"/>
  <c r="O345" i="1"/>
  <c r="P345" i="1"/>
  <c r="Q345" i="1"/>
  <c r="R345" i="1"/>
  <c r="S345" i="1"/>
  <c r="T345" i="1"/>
  <c r="O346" i="1"/>
  <c r="P346" i="1"/>
  <c r="Q346" i="1"/>
  <c r="R346" i="1"/>
  <c r="S346" i="1"/>
  <c r="T346" i="1"/>
  <c r="O347" i="1"/>
  <c r="P347" i="1"/>
  <c r="Q347" i="1"/>
  <c r="R347" i="1"/>
  <c r="S347" i="1"/>
  <c r="T347" i="1"/>
  <c r="O348" i="1"/>
  <c r="P348" i="1"/>
  <c r="Q348" i="1"/>
  <c r="R348" i="1"/>
  <c r="S348" i="1"/>
  <c r="T348" i="1"/>
  <c r="O349" i="1"/>
  <c r="P349" i="1"/>
  <c r="Q349" i="1"/>
  <c r="R349" i="1"/>
  <c r="S349" i="1"/>
  <c r="T349" i="1"/>
  <c r="O350" i="1"/>
  <c r="P350" i="1"/>
  <c r="Q350" i="1"/>
  <c r="R350" i="1"/>
  <c r="S350" i="1"/>
  <c r="T350" i="1"/>
  <c r="O351" i="1"/>
  <c r="P351" i="1"/>
  <c r="Q351" i="1"/>
  <c r="R351" i="1"/>
  <c r="S351" i="1"/>
  <c r="T351" i="1"/>
  <c r="O352" i="1"/>
  <c r="P352" i="1"/>
  <c r="Q352" i="1"/>
  <c r="R352" i="1"/>
  <c r="S352" i="1"/>
  <c r="T352" i="1"/>
  <c r="O353" i="1"/>
  <c r="P353" i="1"/>
  <c r="Q353" i="1"/>
  <c r="R353" i="1"/>
  <c r="S353" i="1"/>
  <c r="T353" i="1"/>
  <c r="T120" i="1" l="1"/>
  <c r="J121" i="3" s="1"/>
  <c r="Q120" i="1"/>
  <c r="G121" i="3" s="1"/>
  <c r="O120" i="1"/>
  <c r="E121" i="3" s="1"/>
  <c r="P120" i="1"/>
  <c r="F121" i="3" s="1"/>
  <c r="R120" i="1"/>
  <c r="H121" i="3" s="1"/>
  <c r="S120" i="1"/>
  <c r="I121" i="3" s="1"/>
  <c r="O118" i="1" l="1"/>
  <c r="E119" i="3" s="1"/>
  <c r="P118" i="1"/>
  <c r="F119" i="3" s="1"/>
  <c r="Q118" i="1"/>
  <c r="G119" i="3" s="1"/>
  <c r="R118" i="1"/>
  <c r="H119" i="3" s="1"/>
  <c r="S118" i="1"/>
  <c r="I119" i="3" s="1"/>
  <c r="T118" i="1"/>
  <c r="J119" i="3" s="1"/>
  <c r="O116" i="1" l="1"/>
  <c r="E117" i="3" s="1"/>
  <c r="P116" i="1"/>
  <c r="F117" i="3" s="1"/>
  <c r="Q116" i="1"/>
  <c r="G117" i="3" s="1"/>
  <c r="R116" i="1"/>
  <c r="H117" i="3" s="1"/>
  <c r="S116" i="1"/>
  <c r="I117" i="3" s="1"/>
  <c r="T116" i="1"/>
  <c r="J117" i="3" s="1"/>
  <c r="R2" i="1" l="1"/>
  <c r="O114" i="1" l="1"/>
  <c r="E115" i="3" s="1"/>
  <c r="P114" i="1"/>
  <c r="F115" i="3" s="1"/>
  <c r="Q114" i="1"/>
  <c r="G115" i="3" s="1"/>
  <c r="R114" i="1"/>
  <c r="H115" i="3" s="1"/>
  <c r="S114" i="1"/>
  <c r="I115" i="3" s="1"/>
  <c r="T114" i="1"/>
  <c r="J115" i="3" s="1"/>
  <c r="R3" i="1" l="1"/>
  <c r="H4" i="3" s="1"/>
  <c r="R4" i="1"/>
  <c r="H5" i="3" s="1"/>
  <c r="R5" i="1"/>
  <c r="H6" i="3" s="1"/>
  <c r="R6" i="1"/>
  <c r="H7" i="3" s="1"/>
  <c r="R7" i="1"/>
  <c r="H8" i="3" s="1"/>
  <c r="R8" i="1"/>
  <c r="H9" i="3" s="1"/>
  <c r="R9" i="1"/>
  <c r="H10" i="3" s="1"/>
  <c r="R10" i="1"/>
  <c r="H11" i="3" s="1"/>
  <c r="R11" i="1"/>
  <c r="H12" i="3" s="1"/>
  <c r="R12" i="1"/>
  <c r="H13" i="3" s="1"/>
  <c r="R13" i="1"/>
  <c r="H14" i="3" s="1"/>
  <c r="R14" i="1"/>
  <c r="H15" i="3" s="1"/>
  <c r="R15" i="1"/>
  <c r="H16" i="3" s="1"/>
  <c r="R16" i="1"/>
  <c r="H17" i="3" s="1"/>
  <c r="R17" i="1"/>
  <c r="H18" i="3" s="1"/>
  <c r="R18" i="1"/>
  <c r="H19" i="3" s="1"/>
  <c r="R19" i="1"/>
  <c r="H20" i="3" s="1"/>
  <c r="R20" i="1"/>
  <c r="H21" i="3" s="1"/>
  <c r="R21" i="1"/>
  <c r="H22" i="3" s="1"/>
  <c r="R22" i="1"/>
  <c r="H23" i="3" s="1"/>
  <c r="R23" i="1"/>
  <c r="H24" i="3" s="1"/>
  <c r="R24" i="1"/>
  <c r="H25" i="3" s="1"/>
  <c r="R25" i="1"/>
  <c r="H26" i="3" s="1"/>
  <c r="R26" i="1"/>
  <c r="H27" i="3" s="1"/>
  <c r="R27" i="1"/>
  <c r="H28" i="3" s="1"/>
  <c r="R28" i="1"/>
  <c r="H29" i="3" s="1"/>
  <c r="R29" i="1"/>
  <c r="H30" i="3" s="1"/>
  <c r="R30" i="1"/>
  <c r="H31" i="3" s="1"/>
  <c r="R31" i="1"/>
  <c r="H32" i="3" s="1"/>
  <c r="R32" i="1"/>
  <c r="H33" i="3" s="1"/>
  <c r="R33" i="1"/>
  <c r="H34" i="3" s="1"/>
  <c r="R34" i="1"/>
  <c r="H35" i="3" s="1"/>
  <c r="R35" i="1"/>
  <c r="H36" i="3" s="1"/>
  <c r="R36" i="1"/>
  <c r="H37" i="3" s="1"/>
  <c r="R37" i="1"/>
  <c r="H38" i="3" s="1"/>
  <c r="R38" i="1"/>
  <c r="H39" i="3" s="1"/>
  <c r="R39" i="1"/>
  <c r="H40" i="3" s="1"/>
  <c r="R40" i="1"/>
  <c r="H41" i="3" s="1"/>
  <c r="R41" i="1"/>
  <c r="H42" i="3" s="1"/>
  <c r="R42" i="1"/>
  <c r="H43" i="3" s="1"/>
  <c r="R43" i="1"/>
  <c r="H44" i="3" s="1"/>
  <c r="R44" i="1"/>
  <c r="H45" i="3" s="1"/>
  <c r="R45" i="1"/>
  <c r="H46" i="3" s="1"/>
  <c r="R46" i="1"/>
  <c r="H47" i="3" s="1"/>
  <c r="R47" i="1"/>
  <c r="H48" i="3" s="1"/>
  <c r="R48" i="1"/>
  <c r="H49" i="3" s="1"/>
  <c r="R49" i="1"/>
  <c r="H50" i="3" s="1"/>
  <c r="R50" i="1"/>
  <c r="H51" i="3" s="1"/>
  <c r="R51" i="1"/>
  <c r="H52" i="3" s="1"/>
  <c r="R52" i="1"/>
  <c r="H53" i="3" s="1"/>
  <c r="R53" i="1"/>
  <c r="H54" i="3" s="1"/>
  <c r="R54" i="1"/>
  <c r="H55" i="3" s="1"/>
  <c r="R55" i="1"/>
  <c r="H56" i="3" s="1"/>
  <c r="R56" i="1"/>
  <c r="H57" i="3" s="1"/>
  <c r="R57" i="1"/>
  <c r="H58" i="3" s="1"/>
  <c r="R58" i="1"/>
  <c r="H59" i="3" s="1"/>
  <c r="R59" i="1"/>
  <c r="H60" i="3" s="1"/>
  <c r="R60" i="1"/>
  <c r="H61" i="3" s="1"/>
  <c r="R61" i="1"/>
  <c r="H62" i="3" s="1"/>
  <c r="R62" i="1"/>
  <c r="H63" i="3" s="1"/>
  <c r="R63" i="1"/>
  <c r="H64" i="3" s="1"/>
  <c r="R64" i="1"/>
  <c r="H65" i="3" s="1"/>
  <c r="R65" i="1"/>
  <c r="H66" i="3" s="1"/>
  <c r="R66" i="1"/>
  <c r="H67" i="3" s="1"/>
  <c r="R67" i="1"/>
  <c r="H68" i="3" s="1"/>
  <c r="R68" i="1"/>
  <c r="H69" i="3" s="1"/>
  <c r="R69" i="1"/>
  <c r="H70" i="3" s="1"/>
  <c r="R70" i="1"/>
  <c r="H71" i="3" s="1"/>
  <c r="R71" i="1"/>
  <c r="H72" i="3" s="1"/>
  <c r="R72" i="1"/>
  <c r="H73" i="3" s="1"/>
  <c r="R73" i="1"/>
  <c r="H74" i="3" s="1"/>
  <c r="R74" i="1"/>
  <c r="H75" i="3" s="1"/>
  <c r="R75" i="1"/>
  <c r="H76" i="3" s="1"/>
  <c r="R76" i="1"/>
  <c r="H77" i="3" s="1"/>
  <c r="R77" i="1"/>
  <c r="H78" i="3" s="1"/>
  <c r="R78" i="1"/>
  <c r="H79" i="3" s="1"/>
  <c r="R79" i="1"/>
  <c r="H80" i="3" s="1"/>
  <c r="R80" i="1"/>
  <c r="H81" i="3" s="1"/>
  <c r="R81" i="1"/>
  <c r="H82" i="3" s="1"/>
  <c r="R82" i="1"/>
  <c r="H83" i="3" s="1"/>
  <c r="R83" i="1"/>
  <c r="H84" i="3" s="1"/>
  <c r="R84" i="1"/>
  <c r="H85" i="3" s="1"/>
  <c r="R85" i="1"/>
  <c r="H86" i="3" s="1"/>
  <c r="R86" i="1"/>
  <c r="H87" i="3" s="1"/>
  <c r="R87" i="1"/>
  <c r="H88" i="3" s="1"/>
  <c r="R88" i="1"/>
  <c r="H89" i="3" s="1"/>
  <c r="R89" i="1"/>
  <c r="H90" i="3" s="1"/>
  <c r="R90" i="1"/>
  <c r="H91" i="3" s="1"/>
  <c r="R91" i="1"/>
  <c r="H92" i="3" s="1"/>
  <c r="R92" i="1"/>
  <c r="H93" i="3" s="1"/>
  <c r="R93" i="1"/>
  <c r="H94" i="3" s="1"/>
  <c r="R94" i="1"/>
  <c r="H95" i="3" s="1"/>
  <c r="R95" i="1"/>
  <c r="H96" i="3" s="1"/>
  <c r="R96" i="1"/>
  <c r="H97" i="3" s="1"/>
  <c r="R97" i="1"/>
  <c r="H98" i="3" s="1"/>
  <c r="R98" i="1"/>
  <c r="H99" i="3" s="1"/>
  <c r="R99" i="1"/>
  <c r="H100" i="3" s="1"/>
  <c r="R100" i="1"/>
  <c r="H101" i="3" s="1"/>
  <c r="R101" i="1"/>
  <c r="H102" i="3" s="1"/>
  <c r="R102" i="1"/>
  <c r="H103" i="3" s="1"/>
  <c r="R103" i="1"/>
  <c r="H104" i="3" s="1"/>
  <c r="R104" i="1"/>
  <c r="H105" i="3" s="1"/>
  <c r="R105" i="1"/>
  <c r="H106" i="3" s="1"/>
  <c r="R106" i="1"/>
  <c r="H107" i="3" s="1"/>
  <c r="R107" i="1"/>
  <c r="H108" i="3" s="1"/>
  <c r="R108" i="1"/>
  <c r="H109" i="3" s="1"/>
  <c r="R109" i="1"/>
  <c r="H110" i="3" s="1"/>
  <c r="R110" i="1"/>
  <c r="H111" i="3" s="1"/>
  <c r="R111" i="1"/>
  <c r="H112" i="3" s="1"/>
  <c r="R112" i="1"/>
  <c r="H113" i="3" s="1"/>
  <c r="R113" i="1"/>
  <c r="H114" i="3" s="1"/>
  <c r="R115" i="1"/>
  <c r="H116" i="3" s="1"/>
  <c r="R117" i="1"/>
  <c r="H118" i="3" s="1"/>
  <c r="R119" i="1"/>
  <c r="H120" i="3" s="1"/>
  <c r="R121" i="1"/>
  <c r="H122" i="3" s="1"/>
  <c r="R122" i="1"/>
  <c r="H123" i="3" s="1"/>
  <c r="R123" i="1"/>
  <c r="H124" i="3" s="1"/>
  <c r="R124" i="1"/>
  <c r="H125" i="3" s="1"/>
  <c r="R125" i="1"/>
  <c r="H126" i="3" s="1"/>
  <c r="R126" i="1"/>
  <c r="H127" i="3" s="1"/>
  <c r="R127" i="1"/>
  <c r="H128" i="3" s="1"/>
  <c r="R128" i="1"/>
  <c r="H129" i="3" s="1"/>
  <c r="R129" i="1"/>
  <c r="H130" i="3" s="1"/>
  <c r="R130" i="1"/>
  <c r="H131" i="3" s="1"/>
  <c r="R131" i="1"/>
  <c r="H132" i="3" s="1"/>
  <c r="R132" i="1"/>
  <c r="H133" i="3" s="1"/>
  <c r="R133" i="1"/>
  <c r="H134" i="3" s="1"/>
  <c r="R134" i="1"/>
  <c r="H135" i="3" s="1"/>
  <c r="R135" i="1"/>
  <c r="H136" i="3" s="1"/>
  <c r="R136" i="1"/>
  <c r="H137" i="3" s="1"/>
  <c r="R137" i="1"/>
  <c r="H138" i="3" s="1"/>
  <c r="R138" i="1"/>
  <c r="H139" i="3" s="1"/>
  <c r="R139" i="1"/>
  <c r="H140" i="3" s="1"/>
  <c r="R140" i="1"/>
  <c r="H141" i="3" s="1"/>
  <c r="R141" i="1"/>
  <c r="H142" i="3" s="1"/>
  <c r="R142" i="1"/>
  <c r="H143" i="3" s="1"/>
  <c r="R143" i="1"/>
  <c r="H144" i="3" s="1"/>
  <c r="R144" i="1"/>
  <c r="H145" i="3" s="1"/>
  <c r="R145" i="1"/>
  <c r="H146" i="3" s="1"/>
  <c r="R146" i="1"/>
  <c r="H147" i="3" s="1"/>
  <c r="R147" i="1"/>
  <c r="H148" i="3" s="1"/>
  <c r="R148" i="1"/>
  <c r="H149" i="3" s="1"/>
  <c r="R149" i="1"/>
  <c r="H150" i="3" s="1"/>
  <c r="R150" i="1"/>
  <c r="H151" i="3" s="1"/>
  <c r="R151" i="1"/>
  <c r="H152" i="3" s="1"/>
  <c r="R152" i="1"/>
  <c r="H153" i="3" s="1"/>
  <c r="R153" i="1"/>
  <c r="H154" i="3" s="1"/>
  <c r="R154" i="1"/>
  <c r="H155" i="3" s="1"/>
  <c r="R155" i="1"/>
  <c r="H156" i="3" s="1"/>
  <c r="R156" i="1"/>
  <c r="H157" i="3" s="1"/>
  <c r="R157" i="1"/>
  <c r="H158" i="3" s="1"/>
  <c r="R158" i="1"/>
  <c r="H159" i="3" s="1"/>
  <c r="R159" i="1"/>
  <c r="H160" i="3" s="1"/>
  <c r="R160" i="1"/>
  <c r="H161" i="3" s="1"/>
  <c r="R161" i="1"/>
  <c r="H162" i="3" s="1"/>
  <c r="R162" i="1"/>
  <c r="H163" i="3" s="1"/>
  <c r="R163" i="1"/>
  <c r="H164" i="3" s="1"/>
  <c r="R164" i="1"/>
  <c r="H165" i="3" s="1"/>
  <c r="R165" i="1"/>
  <c r="H166" i="3" s="1"/>
  <c r="R166" i="1"/>
  <c r="H167" i="3" s="1"/>
  <c r="R167" i="1"/>
  <c r="H168" i="3" s="1"/>
  <c r="R168" i="1"/>
  <c r="H169" i="3" s="1"/>
  <c r="R169" i="1"/>
  <c r="H170" i="3" s="1"/>
  <c r="R170" i="1"/>
  <c r="H171" i="3" s="1"/>
  <c r="R171" i="1"/>
  <c r="H172" i="3" s="1"/>
  <c r="R172" i="1"/>
  <c r="H173" i="3" s="1"/>
  <c r="R173" i="1"/>
  <c r="H174" i="3" s="1"/>
  <c r="R174" i="1"/>
  <c r="H175" i="3" s="1"/>
  <c r="R175" i="1"/>
  <c r="H176" i="3" s="1"/>
  <c r="R176" i="1"/>
  <c r="H177" i="3" s="1"/>
  <c r="R177" i="1"/>
  <c r="H178" i="3" s="1"/>
  <c r="R178" i="1"/>
  <c r="H179" i="3" s="1"/>
  <c r="R179" i="1"/>
  <c r="H180" i="3" s="1"/>
  <c r="R180" i="1"/>
  <c r="H181" i="3" s="1"/>
  <c r="R181" i="1"/>
  <c r="H182" i="3" s="1"/>
  <c r="R182" i="1"/>
  <c r="H183" i="3" s="1"/>
  <c r="R183" i="1"/>
  <c r="H184" i="3" s="1"/>
  <c r="R184" i="1"/>
  <c r="H185" i="3" s="1"/>
  <c r="R185" i="1"/>
  <c r="H186" i="3" s="1"/>
  <c r="R186" i="1"/>
  <c r="H187" i="3" s="1"/>
  <c r="R187" i="1"/>
  <c r="H188" i="3" s="1"/>
  <c r="R188" i="1"/>
  <c r="H189" i="3" s="1"/>
  <c r="R189" i="1"/>
  <c r="H190" i="3" s="1"/>
  <c r="R190" i="1"/>
  <c r="H191" i="3" s="1"/>
  <c r="R191" i="1"/>
  <c r="H192" i="3" s="1"/>
  <c r="R192" i="1"/>
  <c r="H193" i="3" s="1"/>
  <c r="R193" i="1"/>
  <c r="H194" i="3" s="1"/>
  <c r="R194" i="1"/>
  <c r="H195" i="3" s="1"/>
  <c r="R195" i="1"/>
  <c r="H196" i="3" s="1"/>
  <c r="R196" i="1"/>
  <c r="H197" i="3" s="1"/>
  <c r="R197" i="1"/>
  <c r="H198" i="3" s="1"/>
  <c r="R198" i="1"/>
  <c r="H199" i="3" s="1"/>
  <c r="R199" i="1"/>
  <c r="H200" i="3" s="1"/>
  <c r="R200" i="1"/>
  <c r="H201" i="3" s="1"/>
  <c r="R201" i="1"/>
  <c r="H202" i="3" s="1"/>
  <c r="R202" i="1"/>
  <c r="H203" i="3" s="1"/>
  <c r="R203" i="1"/>
  <c r="H204" i="3" s="1"/>
  <c r="R204" i="1"/>
  <c r="H205" i="3" s="1"/>
  <c r="R205" i="1"/>
  <c r="H206" i="3" s="1"/>
  <c r="R206" i="1"/>
  <c r="H207" i="3" s="1"/>
  <c r="R207" i="1"/>
  <c r="H208" i="3" s="1"/>
  <c r="R208" i="1"/>
  <c r="H209" i="3" s="1"/>
  <c r="R209" i="1"/>
  <c r="H210" i="3" s="1"/>
  <c r="R210" i="1"/>
  <c r="H211" i="3" s="1"/>
  <c r="R211" i="1"/>
  <c r="H212" i="3" s="1"/>
  <c r="R212" i="1"/>
  <c r="H213" i="3" s="1"/>
  <c r="R213" i="1"/>
  <c r="H214" i="3" s="1"/>
  <c r="R214" i="1"/>
  <c r="H215" i="3" s="1"/>
  <c r="R215" i="1"/>
  <c r="H216" i="3" s="1"/>
  <c r="R216" i="1"/>
  <c r="H217" i="3" s="1"/>
  <c r="R217" i="1"/>
  <c r="H218" i="3" s="1"/>
  <c r="R218" i="1"/>
  <c r="H219" i="3" s="1"/>
  <c r="R219" i="1"/>
  <c r="H220" i="3" s="1"/>
  <c r="R220" i="1"/>
  <c r="H221" i="3" s="1"/>
  <c r="R221" i="1"/>
  <c r="H222" i="3" s="1"/>
  <c r="R222" i="1"/>
  <c r="H223" i="3" s="1"/>
  <c r="R223" i="1"/>
  <c r="H224" i="3" s="1"/>
  <c r="R224" i="1"/>
  <c r="H225" i="3" s="1"/>
  <c r="R225" i="1"/>
  <c r="H226" i="3" s="1"/>
  <c r="R226" i="1"/>
  <c r="H227" i="3" s="1"/>
  <c r="R227" i="1"/>
  <c r="H228" i="3" s="1"/>
  <c r="R228" i="1"/>
  <c r="H229" i="3" s="1"/>
  <c r="R229" i="1"/>
  <c r="H230" i="3" s="1"/>
  <c r="R230" i="1"/>
  <c r="H231" i="3" s="1"/>
  <c r="R231" i="1"/>
  <c r="H232" i="3" s="1"/>
  <c r="R232" i="1"/>
  <c r="H233" i="3" s="1"/>
  <c r="R233" i="1"/>
  <c r="H234" i="3" s="1"/>
  <c r="R234" i="1"/>
  <c r="H235" i="3" s="1"/>
  <c r="R235" i="1"/>
  <c r="H236" i="3" s="1"/>
  <c r="R236" i="1"/>
  <c r="H237" i="3" s="1"/>
  <c r="R237" i="1"/>
  <c r="H238" i="3" s="1"/>
  <c r="R238" i="1"/>
  <c r="H239" i="3" s="1"/>
  <c r="R239" i="1"/>
  <c r="H240" i="3" s="1"/>
  <c r="R240" i="1"/>
  <c r="H241" i="3" s="1"/>
  <c r="R241" i="1"/>
  <c r="H242" i="3" s="1"/>
  <c r="R242" i="1"/>
  <c r="H243" i="3" s="1"/>
  <c r="R243" i="1"/>
  <c r="H244" i="3" s="1"/>
  <c r="R244" i="1"/>
  <c r="H245" i="3" s="1"/>
  <c r="R245" i="1"/>
  <c r="H246" i="3" s="1"/>
  <c r="R246" i="1"/>
  <c r="H247" i="3" s="1"/>
  <c r="R247" i="1"/>
  <c r="H248" i="3" s="1"/>
  <c r="R248" i="1"/>
  <c r="H249" i="3" s="1"/>
  <c r="R249" i="1"/>
  <c r="H250" i="3" s="1"/>
  <c r="R250" i="1"/>
  <c r="H251" i="3" s="1"/>
  <c r="R251" i="1"/>
  <c r="H252" i="3" s="1"/>
  <c r="R252" i="1"/>
  <c r="H253" i="3" s="1"/>
  <c r="R253" i="1"/>
  <c r="H254" i="3" s="1"/>
  <c r="R254" i="1"/>
  <c r="H255" i="3" s="1"/>
  <c r="R255" i="1"/>
  <c r="H256" i="3" s="1"/>
  <c r="R256" i="1"/>
  <c r="H257" i="3" s="1"/>
  <c r="R257" i="1"/>
  <c r="H258" i="3" s="1"/>
  <c r="R258" i="1"/>
  <c r="H259" i="3" s="1"/>
  <c r="R259" i="1"/>
  <c r="H260" i="3" s="1"/>
  <c r="R260" i="1"/>
  <c r="H261" i="3" s="1"/>
  <c r="R261" i="1"/>
  <c r="H262" i="3" s="1"/>
  <c r="R262" i="1"/>
  <c r="H263" i="3" s="1"/>
  <c r="R263" i="1"/>
  <c r="H264" i="3" s="1"/>
  <c r="R264" i="1"/>
  <c r="H265" i="3" s="1"/>
  <c r="R265" i="1"/>
  <c r="H266" i="3" s="1"/>
  <c r="R266" i="1"/>
  <c r="H267" i="3" s="1"/>
  <c r="R267" i="1"/>
  <c r="H268" i="3" s="1"/>
  <c r="R268" i="1"/>
  <c r="H269" i="3" s="1"/>
  <c r="R269" i="1"/>
  <c r="H270" i="3" s="1"/>
  <c r="R270" i="1"/>
  <c r="H271" i="3" s="1"/>
  <c r="R271" i="1"/>
  <c r="H272" i="3" s="1"/>
  <c r="R272" i="1"/>
  <c r="H273" i="3" s="1"/>
  <c r="R273" i="1"/>
  <c r="H274" i="3" s="1"/>
  <c r="R274" i="1"/>
  <c r="H275" i="3" s="1"/>
  <c r="R275" i="1"/>
  <c r="H276" i="3" s="1"/>
  <c r="R276" i="1"/>
  <c r="H277" i="3" s="1"/>
  <c r="R277" i="1"/>
  <c r="H278" i="3" s="1"/>
  <c r="R278" i="1"/>
  <c r="H279" i="3" s="1"/>
  <c r="R279" i="1"/>
  <c r="H280" i="3" s="1"/>
  <c r="R280" i="1"/>
  <c r="H281" i="3" s="1"/>
  <c r="R281" i="1"/>
  <c r="H282" i="3" s="1"/>
  <c r="R282" i="1"/>
  <c r="H283" i="3" s="1"/>
  <c r="R283" i="1"/>
  <c r="H284" i="3" s="1"/>
  <c r="R284" i="1"/>
  <c r="H285" i="3" s="1"/>
  <c r="R285" i="1"/>
  <c r="H286" i="3" s="1"/>
  <c r="R286" i="1"/>
  <c r="H287" i="3" s="1"/>
  <c r="R287" i="1"/>
  <c r="H288" i="3" s="1"/>
  <c r="R288" i="1"/>
  <c r="H289" i="3" s="1"/>
  <c r="R289" i="1"/>
  <c r="H290" i="3" s="1"/>
  <c r="R290" i="1"/>
  <c r="H291" i="3" s="1"/>
  <c r="R293" i="1"/>
  <c r="H294" i="3" s="1"/>
  <c r="R294" i="1"/>
  <c r="H295" i="3" s="1"/>
  <c r="R295" i="1"/>
  <c r="H296" i="3" s="1"/>
  <c r="R296" i="1"/>
  <c r="H297" i="3" s="1"/>
  <c r="R297" i="1"/>
  <c r="H298" i="3" s="1"/>
  <c r="R298" i="1"/>
  <c r="H299" i="3" s="1"/>
  <c r="R299" i="1"/>
  <c r="H300" i="3" s="1"/>
  <c r="R300" i="1"/>
  <c r="H301" i="3" s="1"/>
  <c r="R301" i="1"/>
  <c r="H302" i="3" s="1"/>
  <c r="R302" i="1"/>
  <c r="H303" i="3" s="1"/>
  <c r="R303" i="1"/>
  <c r="H304" i="3" s="1"/>
  <c r="R304" i="1"/>
  <c r="H305" i="3" s="1"/>
  <c r="R305" i="1"/>
  <c r="H306" i="3" s="1"/>
  <c r="R306" i="1"/>
  <c r="H307" i="3" s="1"/>
  <c r="R307" i="1"/>
  <c r="H308" i="3" s="1"/>
  <c r="R308" i="1"/>
  <c r="R309" i="1"/>
  <c r="R310" i="1"/>
  <c r="R311" i="1"/>
  <c r="H312" i="3" s="1"/>
  <c r="R312" i="1"/>
  <c r="R313" i="1"/>
  <c r="R314" i="1"/>
  <c r="R315" i="1"/>
  <c r="H316" i="3" s="1"/>
  <c r="R291" i="1"/>
  <c r="H292" i="3" s="1"/>
  <c r="R292" i="1"/>
  <c r="H293" i="3" s="1"/>
  <c r="R316" i="1"/>
  <c r="R317" i="1"/>
  <c r="H318" i="3" s="1"/>
  <c r="R318" i="1"/>
  <c r="R319" i="1"/>
  <c r="R320" i="1"/>
  <c r="R321" i="1"/>
  <c r="H322" i="3" s="1"/>
  <c r="R322" i="1"/>
  <c r="R323" i="1"/>
  <c r="R324" i="1"/>
  <c r="R325" i="1"/>
  <c r="H326" i="3" s="1"/>
  <c r="R326" i="1"/>
  <c r="R327" i="1"/>
  <c r="R328" i="1"/>
  <c r="R329" i="1"/>
  <c r="H330" i="3" s="1"/>
  <c r="R330" i="1"/>
  <c r="R331" i="1"/>
  <c r="R332" i="1"/>
  <c r="R333" i="1"/>
  <c r="H334" i="3" s="1"/>
  <c r="R334" i="1"/>
  <c r="R335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H372" i="3" s="1"/>
  <c r="R372" i="1"/>
  <c r="R373" i="1"/>
  <c r="R374" i="1"/>
  <c r="R375" i="1"/>
  <c r="H376" i="3" s="1"/>
  <c r="R376" i="1"/>
  <c r="R377" i="1"/>
  <c r="H378" i="3" s="1"/>
  <c r="R378" i="1"/>
  <c r="H379" i="3" s="1"/>
  <c r="R379" i="1"/>
  <c r="H380" i="3" s="1"/>
  <c r="R380" i="1"/>
  <c r="H381" i="3" s="1"/>
  <c r="R381" i="1"/>
  <c r="H382" i="3" s="1"/>
  <c r="R382" i="1"/>
  <c r="H383" i="3" s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H402" i="3" s="1"/>
  <c r="R402" i="1"/>
  <c r="R403" i="1"/>
  <c r="H404" i="3" s="1"/>
  <c r="R404" i="1"/>
  <c r="R405" i="1"/>
  <c r="H406" i="3" s="1"/>
  <c r="R406" i="1"/>
  <c r="H407" i="3" s="1"/>
  <c r="R407" i="1"/>
  <c r="H408" i="3" s="1"/>
  <c r="R408" i="1"/>
  <c r="R409" i="1"/>
  <c r="H410" i="3" s="1"/>
  <c r="R410" i="1"/>
  <c r="H411" i="3" s="1"/>
  <c r="R411" i="1"/>
  <c r="H412" i="3" s="1"/>
  <c r="R412" i="1"/>
  <c r="R413" i="1"/>
  <c r="H414" i="3" s="1"/>
  <c r="R414" i="1"/>
  <c r="H415" i="3" s="1"/>
  <c r="R415" i="1"/>
  <c r="H416" i="3" s="1"/>
  <c r="R416" i="1"/>
  <c r="R417" i="1"/>
  <c r="H418" i="3" s="1"/>
  <c r="R418" i="1"/>
  <c r="H419" i="3" s="1"/>
  <c r="R419" i="1"/>
  <c r="H420" i="3" s="1"/>
  <c r="R420" i="1"/>
  <c r="R421" i="1"/>
  <c r="H422" i="3" s="1"/>
  <c r="R422" i="1"/>
  <c r="H423" i="3" s="1"/>
  <c r="R423" i="1"/>
  <c r="H424" i="3" s="1"/>
  <c r="Q2" i="1"/>
  <c r="Q3" i="1"/>
  <c r="G4" i="3" s="1"/>
  <c r="Q4" i="1"/>
  <c r="G5" i="3" s="1"/>
  <c r="Q5" i="1"/>
  <c r="G6" i="3" s="1"/>
  <c r="Q6" i="1"/>
  <c r="G7" i="3" s="1"/>
  <c r="Q7" i="1"/>
  <c r="G8" i="3" s="1"/>
  <c r="Q8" i="1"/>
  <c r="G9" i="3" s="1"/>
  <c r="Q9" i="1"/>
  <c r="G10" i="3" s="1"/>
  <c r="Q10" i="1"/>
  <c r="G11" i="3" s="1"/>
  <c r="Q11" i="1"/>
  <c r="G12" i="3" s="1"/>
  <c r="Q12" i="1"/>
  <c r="G13" i="3" s="1"/>
  <c r="Q13" i="1"/>
  <c r="G14" i="3" s="1"/>
  <c r="Q14" i="1"/>
  <c r="G15" i="3" s="1"/>
  <c r="Q15" i="1"/>
  <c r="G16" i="3" s="1"/>
  <c r="Q16" i="1"/>
  <c r="G17" i="3" s="1"/>
  <c r="Q17" i="1"/>
  <c r="G18" i="3" s="1"/>
  <c r="Q18" i="1"/>
  <c r="G19" i="3" s="1"/>
  <c r="Q19" i="1"/>
  <c r="G20" i="3" s="1"/>
  <c r="Q20" i="1"/>
  <c r="G21" i="3" s="1"/>
  <c r="Q21" i="1"/>
  <c r="G22" i="3" s="1"/>
  <c r="Q22" i="1"/>
  <c r="G23" i="3" s="1"/>
  <c r="Q23" i="1"/>
  <c r="G24" i="3" s="1"/>
  <c r="Q24" i="1"/>
  <c r="G25" i="3" s="1"/>
  <c r="Q25" i="1"/>
  <c r="G26" i="3" s="1"/>
  <c r="Q26" i="1"/>
  <c r="G27" i="3" s="1"/>
  <c r="Q27" i="1"/>
  <c r="G28" i="3" s="1"/>
  <c r="Q28" i="1"/>
  <c r="G29" i="3" s="1"/>
  <c r="Q29" i="1"/>
  <c r="G30" i="3" s="1"/>
  <c r="Q30" i="1"/>
  <c r="G31" i="3" s="1"/>
  <c r="Q31" i="1"/>
  <c r="G32" i="3" s="1"/>
  <c r="Q32" i="1"/>
  <c r="G33" i="3" s="1"/>
  <c r="Q33" i="1"/>
  <c r="G34" i="3" s="1"/>
  <c r="Q34" i="1"/>
  <c r="G35" i="3" s="1"/>
  <c r="Q35" i="1"/>
  <c r="G36" i="3" s="1"/>
  <c r="Q36" i="1"/>
  <c r="G37" i="3" s="1"/>
  <c r="Q37" i="1"/>
  <c r="G38" i="3" s="1"/>
  <c r="Q38" i="1"/>
  <c r="G39" i="3" s="1"/>
  <c r="Q39" i="1"/>
  <c r="G40" i="3" s="1"/>
  <c r="Q40" i="1"/>
  <c r="G41" i="3" s="1"/>
  <c r="Q41" i="1"/>
  <c r="G42" i="3" s="1"/>
  <c r="Q42" i="1"/>
  <c r="G43" i="3" s="1"/>
  <c r="Q43" i="1"/>
  <c r="G44" i="3" s="1"/>
  <c r="Q44" i="1"/>
  <c r="G45" i="3" s="1"/>
  <c r="Q45" i="1"/>
  <c r="G46" i="3" s="1"/>
  <c r="Q46" i="1"/>
  <c r="G47" i="3" s="1"/>
  <c r="Q47" i="1"/>
  <c r="G48" i="3" s="1"/>
  <c r="Q48" i="1"/>
  <c r="G49" i="3" s="1"/>
  <c r="Q49" i="1"/>
  <c r="G50" i="3" s="1"/>
  <c r="Q50" i="1"/>
  <c r="G51" i="3" s="1"/>
  <c r="Q51" i="1"/>
  <c r="G52" i="3" s="1"/>
  <c r="Q52" i="1"/>
  <c r="G53" i="3" s="1"/>
  <c r="Q53" i="1"/>
  <c r="G54" i="3" s="1"/>
  <c r="Q54" i="1"/>
  <c r="G55" i="3" s="1"/>
  <c r="Q55" i="1"/>
  <c r="G56" i="3" s="1"/>
  <c r="Q56" i="1"/>
  <c r="G57" i="3" s="1"/>
  <c r="Q57" i="1"/>
  <c r="G58" i="3" s="1"/>
  <c r="Q58" i="1"/>
  <c r="G59" i="3" s="1"/>
  <c r="Q59" i="1"/>
  <c r="G60" i="3" s="1"/>
  <c r="Q60" i="1"/>
  <c r="G61" i="3" s="1"/>
  <c r="Q61" i="1"/>
  <c r="G62" i="3" s="1"/>
  <c r="Q62" i="1"/>
  <c r="G63" i="3" s="1"/>
  <c r="Q63" i="1"/>
  <c r="G64" i="3" s="1"/>
  <c r="Q64" i="1"/>
  <c r="G65" i="3" s="1"/>
  <c r="Q65" i="1"/>
  <c r="G66" i="3" s="1"/>
  <c r="Q66" i="1"/>
  <c r="G67" i="3" s="1"/>
  <c r="Q67" i="1"/>
  <c r="G68" i="3" s="1"/>
  <c r="Q68" i="1"/>
  <c r="G69" i="3" s="1"/>
  <c r="Q69" i="1"/>
  <c r="G70" i="3" s="1"/>
  <c r="Q70" i="1"/>
  <c r="G71" i="3" s="1"/>
  <c r="Q71" i="1"/>
  <c r="G72" i="3" s="1"/>
  <c r="Q72" i="1"/>
  <c r="G73" i="3" s="1"/>
  <c r="Q73" i="1"/>
  <c r="G74" i="3" s="1"/>
  <c r="Q74" i="1"/>
  <c r="G75" i="3" s="1"/>
  <c r="Q75" i="1"/>
  <c r="G76" i="3" s="1"/>
  <c r="Q76" i="1"/>
  <c r="G77" i="3" s="1"/>
  <c r="Q77" i="1"/>
  <c r="G78" i="3" s="1"/>
  <c r="Q78" i="1"/>
  <c r="G79" i="3" s="1"/>
  <c r="Q79" i="1"/>
  <c r="G80" i="3" s="1"/>
  <c r="Q80" i="1"/>
  <c r="G81" i="3" s="1"/>
  <c r="Q81" i="1"/>
  <c r="G82" i="3" s="1"/>
  <c r="Q82" i="1"/>
  <c r="G83" i="3" s="1"/>
  <c r="Q83" i="1"/>
  <c r="G84" i="3" s="1"/>
  <c r="Q84" i="1"/>
  <c r="G85" i="3" s="1"/>
  <c r="Q85" i="1"/>
  <c r="G86" i="3" s="1"/>
  <c r="Q86" i="1"/>
  <c r="G87" i="3" s="1"/>
  <c r="Q87" i="1"/>
  <c r="G88" i="3" s="1"/>
  <c r="Q88" i="1"/>
  <c r="G89" i="3" s="1"/>
  <c r="Q89" i="1"/>
  <c r="G90" i="3" s="1"/>
  <c r="Q90" i="1"/>
  <c r="G91" i="3" s="1"/>
  <c r="Q91" i="1"/>
  <c r="G92" i="3" s="1"/>
  <c r="Q92" i="1"/>
  <c r="G93" i="3" s="1"/>
  <c r="Q93" i="1"/>
  <c r="G94" i="3" s="1"/>
  <c r="Q94" i="1"/>
  <c r="G95" i="3" s="1"/>
  <c r="Q95" i="1"/>
  <c r="G96" i="3" s="1"/>
  <c r="Q96" i="1"/>
  <c r="G97" i="3" s="1"/>
  <c r="Q97" i="1"/>
  <c r="G98" i="3" s="1"/>
  <c r="Q98" i="1"/>
  <c r="G99" i="3" s="1"/>
  <c r="Q99" i="1"/>
  <c r="G100" i="3" s="1"/>
  <c r="Q100" i="1"/>
  <c r="G101" i="3" s="1"/>
  <c r="Q101" i="1"/>
  <c r="G102" i="3" s="1"/>
  <c r="Q102" i="1"/>
  <c r="G103" i="3" s="1"/>
  <c r="Q103" i="1"/>
  <c r="G104" i="3" s="1"/>
  <c r="Q104" i="1"/>
  <c r="G105" i="3" s="1"/>
  <c r="Q105" i="1"/>
  <c r="G106" i="3" s="1"/>
  <c r="Q106" i="1"/>
  <c r="G107" i="3" s="1"/>
  <c r="Q107" i="1"/>
  <c r="G108" i="3" s="1"/>
  <c r="Q108" i="1"/>
  <c r="G109" i="3" s="1"/>
  <c r="Q109" i="1"/>
  <c r="G110" i="3" s="1"/>
  <c r="Q110" i="1"/>
  <c r="G111" i="3" s="1"/>
  <c r="Q111" i="1"/>
  <c r="G112" i="3" s="1"/>
  <c r="Q112" i="1"/>
  <c r="G113" i="3" s="1"/>
  <c r="Q113" i="1"/>
  <c r="G114" i="3" s="1"/>
  <c r="Q115" i="1"/>
  <c r="G116" i="3" s="1"/>
  <c r="Q117" i="1"/>
  <c r="G118" i="3" s="1"/>
  <c r="Q119" i="1"/>
  <c r="G120" i="3" s="1"/>
  <c r="Q121" i="1"/>
  <c r="G122" i="3" s="1"/>
  <c r="Q122" i="1"/>
  <c r="G123" i="3" s="1"/>
  <c r="Q123" i="1"/>
  <c r="G124" i="3" s="1"/>
  <c r="Q124" i="1"/>
  <c r="G125" i="3" s="1"/>
  <c r="Q125" i="1"/>
  <c r="G126" i="3" s="1"/>
  <c r="Q126" i="1"/>
  <c r="G127" i="3" s="1"/>
  <c r="Q127" i="1"/>
  <c r="G128" i="3" s="1"/>
  <c r="Q128" i="1"/>
  <c r="G129" i="3" s="1"/>
  <c r="Q129" i="1"/>
  <c r="G130" i="3" s="1"/>
  <c r="Q130" i="1"/>
  <c r="G131" i="3" s="1"/>
  <c r="Q131" i="1"/>
  <c r="G132" i="3" s="1"/>
  <c r="Q132" i="1"/>
  <c r="G133" i="3" s="1"/>
  <c r="Q133" i="1"/>
  <c r="G134" i="3" s="1"/>
  <c r="Q134" i="1"/>
  <c r="G135" i="3" s="1"/>
  <c r="Q135" i="1"/>
  <c r="G136" i="3" s="1"/>
  <c r="Q136" i="1"/>
  <c r="G137" i="3" s="1"/>
  <c r="Q137" i="1"/>
  <c r="G138" i="3" s="1"/>
  <c r="Q138" i="1"/>
  <c r="G139" i="3" s="1"/>
  <c r="Q139" i="1"/>
  <c r="G140" i="3" s="1"/>
  <c r="Q140" i="1"/>
  <c r="G141" i="3" s="1"/>
  <c r="Q141" i="1"/>
  <c r="G142" i="3" s="1"/>
  <c r="Q142" i="1"/>
  <c r="G143" i="3" s="1"/>
  <c r="Q143" i="1"/>
  <c r="G144" i="3" s="1"/>
  <c r="Q144" i="1"/>
  <c r="G145" i="3" s="1"/>
  <c r="Q145" i="1"/>
  <c r="G146" i="3" s="1"/>
  <c r="Q146" i="1"/>
  <c r="G147" i="3" s="1"/>
  <c r="Q147" i="1"/>
  <c r="G148" i="3" s="1"/>
  <c r="Q148" i="1"/>
  <c r="G149" i="3" s="1"/>
  <c r="Q149" i="1"/>
  <c r="G150" i="3" s="1"/>
  <c r="Q150" i="1"/>
  <c r="G151" i="3" s="1"/>
  <c r="Q151" i="1"/>
  <c r="G152" i="3" s="1"/>
  <c r="Q152" i="1"/>
  <c r="G153" i="3" s="1"/>
  <c r="Q153" i="1"/>
  <c r="G154" i="3" s="1"/>
  <c r="Q154" i="1"/>
  <c r="G155" i="3" s="1"/>
  <c r="Q155" i="1"/>
  <c r="G156" i="3" s="1"/>
  <c r="Q156" i="1"/>
  <c r="G157" i="3" s="1"/>
  <c r="Q157" i="1"/>
  <c r="G158" i="3" s="1"/>
  <c r="Q158" i="1"/>
  <c r="G159" i="3" s="1"/>
  <c r="Q159" i="1"/>
  <c r="G160" i="3" s="1"/>
  <c r="Q160" i="1"/>
  <c r="G161" i="3" s="1"/>
  <c r="Q161" i="1"/>
  <c r="G162" i="3" s="1"/>
  <c r="Q162" i="1"/>
  <c r="G163" i="3" s="1"/>
  <c r="Q163" i="1"/>
  <c r="G164" i="3" s="1"/>
  <c r="Q164" i="1"/>
  <c r="G165" i="3" s="1"/>
  <c r="Q165" i="1"/>
  <c r="G166" i="3" s="1"/>
  <c r="Q166" i="1"/>
  <c r="G167" i="3" s="1"/>
  <c r="Q167" i="1"/>
  <c r="G168" i="3" s="1"/>
  <c r="Q168" i="1"/>
  <c r="G169" i="3" s="1"/>
  <c r="Q169" i="1"/>
  <c r="G170" i="3" s="1"/>
  <c r="Q170" i="1"/>
  <c r="G171" i="3" s="1"/>
  <c r="Q171" i="1"/>
  <c r="G172" i="3" s="1"/>
  <c r="Q172" i="1"/>
  <c r="G173" i="3" s="1"/>
  <c r="Q173" i="1"/>
  <c r="G174" i="3" s="1"/>
  <c r="Q174" i="1"/>
  <c r="G175" i="3" s="1"/>
  <c r="Q175" i="1"/>
  <c r="G176" i="3" s="1"/>
  <c r="Q176" i="1"/>
  <c r="G177" i="3" s="1"/>
  <c r="Q177" i="1"/>
  <c r="G178" i="3" s="1"/>
  <c r="Q178" i="1"/>
  <c r="G179" i="3" s="1"/>
  <c r="Q179" i="1"/>
  <c r="G180" i="3" s="1"/>
  <c r="Q180" i="1"/>
  <c r="G181" i="3" s="1"/>
  <c r="Q181" i="1"/>
  <c r="G182" i="3" s="1"/>
  <c r="Q182" i="1"/>
  <c r="G183" i="3" s="1"/>
  <c r="Q183" i="1"/>
  <c r="G184" i="3" s="1"/>
  <c r="Q184" i="1"/>
  <c r="G185" i="3" s="1"/>
  <c r="Q185" i="1"/>
  <c r="G186" i="3" s="1"/>
  <c r="Q186" i="1"/>
  <c r="G187" i="3" s="1"/>
  <c r="Q187" i="1"/>
  <c r="G188" i="3" s="1"/>
  <c r="Q188" i="1"/>
  <c r="G189" i="3" s="1"/>
  <c r="Q189" i="1"/>
  <c r="G190" i="3" s="1"/>
  <c r="Q190" i="1"/>
  <c r="G191" i="3" s="1"/>
  <c r="Q191" i="1"/>
  <c r="G192" i="3" s="1"/>
  <c r="Q192" i="1"/>
  <c r="G193" i="3" s="1"/>
  <c r="Q193" i="1"/>
  <c r="G194" i="3" s="1"/>
  <c r="Q194" i="1"/>
  <c r="G195" i="3" s="1"/>
  <c r="Q195" i="1"/>
  <c r="G196" i="3" s="1"/>
  <c r="Q196" i="1"/>
  <c r="G197" i="3" s="1"/>
  <c r="Q197" i="1"/>
  <c r="G198" i="3" s="1"/>
  <c r="Q198" i="1"/>
  <c r="G199" i="3" s="1"/>
  <c r="Q199" i="1"/>
  <c r="G200" i="3" s="1"/>
  <c r="Q200" i="1"/>
  <c r="G201" i="3" s="1"/>
  <c r="Q201" i="1"/>
  <c r="G202" i="3" s="1"/>
  <c r="Q202" i="1"/>
  <c r="G203" i="3" s="1"/>
  <c r="Q203" i="1"/>
  <c r="G204" i="3" s="1"/>
  <c r="Q204" i="1"/>
  <c r="G205" i="3" s="1"/>
  <c r="Q205" i="1"/>
  <c r="G206" i="3" s="1"/>
  <c r="Q206" i="1"/>
  <c r="G207" i="3" s="1"/>
  <c r="Q207" i="1"/>
  <c r="G208" i="3" s="1"/>
  <c r="Q208" i="1"/>
  <c r="G209" i="3" s="1"/>
  <c r="Q209" i="1"/>
  <c r="G210" i="3" s="1"/>
  <c r="Q210" i="1"/>
  <c r="G211" i="3" s="1"/>
  <c r="Q211" i="1"/>
  <c r="G212" i="3" s="1"/>
  <c r="Q212" i="1"/>
  <c r="G213" i="3" s="1"/>
  <c r="Q213" i="1"/>
  <c r="G214" i="3" s="1"/>
  <c r="Q214" i="1"/>
  <c r="G215" i="3" s="1"/>
  <c r="Q215" i="1"/>
  <c r="G216" i="3" s="1"/>
  <c r="Q216" i="1"/>
  <c r="G217" i="3" s="1"/>
  <c r="Q217" i="1"/>
  <c r="G218" i="3" s="1"/>
  <c r="Q218" i="1"/>
  <c r="G219" i="3" s="1"/>
  <c r="Q219" i="1"/>
  <c r="G220" i="3" s="1"/>
  <c r="Q220" i="1"/>
  <c r="G221" i="3" s="1"/>
  <c r="Q221" i="1"/>
  <c r="G222" i="3" s="1"/>
  <c r="Q222" i="1"/>
  <c r="G223" i="3" s="1"/>
  <c r="Q223" i="1"/>
  <c r="G224" i="3" s="1"/>
  <c r="Q224" i="1"/>
  <c r="G225" i="3" s="1"/>
  <c r="Q225" i="1"/>
  <c r="G226" i="3" s="1"/>
  <c r="Q226" i="1"/>
  <c r="G227" i="3" s="1"/>
  <c r="Q227" i="1"/>
  <c r="G228" i="3" s="1"/>
  <c r="Q228" i="1"/>
  <c r="G229" i="3" s="1"/>
  <c r="Q229" i="1"/>
  <c r="G230" i="3" s="1"/>
  <c r="Q230" i="1"/>
  <c r="G231" i="3" s="1"/>
  <c r="Q231" i="1"/>
  <c r="G232" i="3" s="1"/>
  <c r="Q232" i="1"/>
  <c r="G233" i="3" s="1"/>
  <c r="Q233" i="1"/>
  <c r="G234" i="3" s="1"/>
  <c r="Q234" i="1"/>
  <c r="G235" i="3" s="1"/>
  <c r="Q235" i="1"/>
  <c r="G236" i="3" s="1"/>
  <c r="Q236" i="1"/>
  <c r="G237" i="3" s="1"/>
  <c r="Q237" i="1"/>
  <c r="G238" i="3" s="1"/>
  <c r="Q238" i="1"/>
  <c r="G239" i="3" s="1"/>
  <c r="Q239" i="1"/>
  <c r="G240" i="3" s="1"/>
  <c r="Q240" i="1"/>
  <c r="G241" i="3" s="1"/>
  <c r="Q241" i="1"/>
  <c r="G242" i="3" s="1"/>
  <c r="Q242" i="1"/>
  <c r="G243" i="3" s="1"/>
  <c r="Q243" i="1"/>
  <c r="G244" i="3" s="1"/>
  <c r="Q244" i="1"/>
  <c r="G245" i="3" s="1"/>
  <c r="Q245" i="1"/>
  <c r="G246" i="3" s="1"/>
  <c r="Q246" i="1"/>
  <c r="G247" i="3" s="1"/>
  <c r="Q247" i="1"/>
  <c r="G248" i="3" s="1"/>
  <c r="Q248" i="1"/>
  <c r="G249" i="3" s="1"/>
  <c r="Q249" i="1"/>
  <c r="G250" i="3" s="1"/>
  <c r="Q250" i="1"/>
  <c r="G251" i="3" s="1"/>
  <c r="Q251" i="1"/>
  <c r="G252" i="3" s="1"/>
  <c r="Q252" i="1"/>
  <c r="G253" i="3" s="1"/>
  <c r="Q253" i="1"/>
  <c r="G254" i="3" s="1"/>
  <c r="Q254" i="1"/>
  <c r="G255" i="3" s="1"/>
  <c r="Q255" i="1"/>
  <c r="G256" i="3" s="1"/>
  <c r="Q256" i="1"/>
  <c r="G257" i="3" s="1"/>
  <c r="Q257" i="1"/>
  <c r="G258" i="3" s="1"/>
  <c r="Q258" i="1"/>
  <c r="G259" i="3" s="1"/>
  <c r="Q259" i="1"/>
  <c r="G260" i="3" s="1"/>
  <c r="Q260" i="1"/>
  <c r="G261" i="3" s="1"/>
  <c r="Q261" i="1"/>
  <c r="G262" i="3" s="1"/>
  <c r="Q262" i="1"/>
  <c r="G263" i="3" s="1"/>
  <c r="Q263" i="1"/>
  <c r="G264" i="3" s="1"/>
  <c r="Q264" i="1"/>
  <c r="G265" i="3" s="1"/>
  <c r="Q265" i="1"/>
  <c r="G266" i="3" s="1"/>
  <c r="Q266" i="1"/>
  <c r="G267" i="3" s="1"/>
  <c r="Q267" i="1"/>
  <c r="G268" i="3" s="1"/>
  <c r="Q268" i="1"/>
  <c r="G269" i="3" s="1"/>
  <c r="Q269" i="1"/>
  <c r="G270" i="3" s="1"/>
  <c r="Q270" i="1"/>
  <c r="G271" i="3" s="1"/>
  <c r="Q271" i="1"/>
  <c r="G272" i="3" s="1"/>
  <c r="Q272" i="1"/>
  <c r="G273" i="3" s="1"/>
  <c r="Q273" i="1"/>
  <c r="G274" i="3" s="1"/>
  <c r="Q274" i="1"/>
  <c r="G275" i="3" s="1"/>
  <c r="Q275" i="1"/>
  <c r="G276" i="3" s="1"/>
  <c r="Q276" i="1"/>
  <c r="G277" i="3" s="1"/>
  <c r="Q277" i="1"/>
  <c r="G278" i="3" s="1"/>
  <c r="Q278" i="1"/>
  <c r="G279" i="3" s="1"/>
  <c r="Q279" i="1"/>
  <c r="G280" i="3" s="1"/>
  <c r="Q280" i="1"/>
  <c r="G281" i="3" s="1"/>
  <c r="Q281" i="1"/>
  <c r="G282" i="3" s="1"/>
  <c r="Q282" i="1"/>
  <c r="G283" i="3" s="1"/>
  <c r="Q283" i="1"/>
  <c r="G284" i="3" s="1"/>
  <c r="Q284" i="1"/>
  <c r="G285" i="3" s="1"/>
  <c r="Q285" i="1"/>
  <c r="G286" i="3" s="1"/>
  <c r="Q286" i="1"/>
  <c r="G287" i="3" s="1"/>
  <c r="Q287" i="1"/>
  <c r="G288" i="3" s="1"/>
  <c r="Q288" i="1"/>
  <c r="G289" i="3" s="1"/>
  <c r="Q289" i="1"/>
  <c r="G290" i="3" s="1"/>
  <c r="Q290" i="1"/>
  <c r="G291" i="3" s="1"/>
  <c r="Q293" i="1"/>
  <c r="G294" i="3" s="1"/>
  <c r="Q294" i="1"/>
  <c r="G295" i="3" s="1"/>
  <c r="Q295" i="1"/>
  <c r="G296" i="3" s="1"/>
  <c r="Q296" i="1"/>
  <c r="G297" i="3" s="1"/>
  <c r="Q297" i="1"/>
  <c r="G298" i="3" s="1"/>
  <c r="Q298" i="1"/>
  <c r="G299" i="3" s="1"/>
  <c r="Q299" i="1"/>
  <c r="G300" i="3" s="1"/>
  <c r="Q300" i="1"/>
  <c r="G301" i="3" s="1"/>
  <c r="Q301" i="1"/>
  <c r="G302" i="3" s="1"/>
  <c r="Q302" i="1"/>
  <c r="G303" i="3" s="1"/>
  <c r="Q303" i="1"/>
  <c r="G304" i="3" s="1"/>
  <c r="Q304" i="1"/>
  <c r="G305" i="3" s="1"/>
  <c r="Q305" i="1"/>
  <c r="G306" i="3" s="1"/>
  <c r="Q306" i="1"/>
  <c r="G307" i="3" s="1"/>
  <c r="Q307" i="1"/>
  <c r="G308" i="3" s="1"/>
  <c r="Q308" i="1"/>
  <c r="Q309" i="1"/>
  <c r="Q310" i="1"/>
  <c r="Q311" i="1"/>
  <c r="G312" i="3" s="1"/>
  <c r="Q312" i="1"/>
  <c r="Q313" i="1"/>
  <c r="Q314" i="1"/>
  <c r="Q315" i="1"/>
  <c r="G316" i="3" s="1"/>
  <c r="Q291" i="1"/>
  <c r="G292" i="3" s="1"/>
  <c r="Q292" i="1"/>
  <c r="G293" i="3" s="1"/>
  <c r="Q316" i="1"/>
  <c r="Q317" i="1"/>
  <c r="G318" i="3" s="1"/>
  <c r="Q318" i="1"/>
  <c r="Q319" i="1"/>
  <c r="Q320" i="1"/>
  <c r="Q321" i="1"/>
  <c r="G322" i="3" s="1"/>
  <c r="Q322" i="1"/>
  <c r="Q323" i="1"/>
  <c r="Q324" i="1"/>
  <c r="Q325" i="1"/>
  <c r="G326" i="3" s="1"/>
  <c r="Q326" i="1"/>
  <c r="Q327" i="1"/>
  <c r="Q328" i="1"/>
  <c r="Q329" i="1"/>
  <c r="G330" i="3" s="1"/>
  <c r="Q330" i="1"/>
  <c r="Q331" i="1"/>
  <c r="Q332" i="1"/>
  <c r="Q333" i="1"/>
  <c r="G334" i="3" s="1"/>
  <c r="Q334" i="1"/>
  <c r="Q335" i="1"/>
  <c r="Q354" i="1"/>
  <c r="Q355" i="1"/>
  <c r="G356" i="3" s="1"/>
  <c r="Q356" i="1"/>
  <c r="Q357" i="1"/>
  <c r="Q358" i="1"/>
  <c r="Q359" i="1"/>
  <c r="G360" i="3" s="1"/>
  <c r="Q360" i="1"/>
  <c r="Q361" i="1"/>
  <c r="Q362" i="1"/>
  <c r="Q363" i="1"/>
  <c r="G364" i="3" s="1"/>
  <c r="Q364" i="1"/>
  <c r="Q365" i="1"/>
  <c r="Q366" i="1"/>
  <c r="Q367" i="1"/>
  <c r="G368" i="3" s="1"/>
  <c r="Q368" i="1"/>
  <c r="Q369" i="1"/>
  <c r="Q370" i="1"/>
  <c r="Q371" i="1"/>
  <c r="G372" i="3" s="1"/>
  <c r="Q372" i="1"/>
  <c r="Q373" i="1"/>
  <c r="Q374" i="1"/>
  <c r="Q375" i="1"/>
  <c r="G376" i="3" s="1"/>
  <c r="Q376" i="1"/>
  <c r="Q377" i="1"/>
  <c r="G378" i="3" s="1"/>
  <c r="Q378" i="1"/>
  <c r="G379" i="3" s="1"/>
  <c r="Q379" i="1"/>
  <c r="G380" i="3" s="1"/>
  <c r="Q380" i="1"/>
  <c r="G381" i="3" s="1"/>
  <c r="Q381" i="1"/>
  <c r="G382" i="3" s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G402" i="3" s="1"/>
  <c r="Q402" i="1"/>
  <c r="Q403" i="1"/>
  <c r="G404" i="3" s="1"/>
  <c r="Q404" i="1"/>
  <c r="G405" i="3" s="1"/>
  <c r="Q405" i="1"/>
  <c r="G406" i="3" s="1"/>
  <c r="Q406" i="1"/>
  <c r="G407" i="3" s="1"/>
  <c r="Q407" i="1"/>
  <c r="G408" i="3" s="1"/>
  <c r="Q408" i="1"/>
  <c r="G409" i="3" s="1"/>
  <c r="Q409" i="1"/>
  <c r="G410" i="3" s="1"/>
  <c r="Q410" i="1"/>
  <c r="G411" i="3" s="1"/>
  <c r="Q411" i="1"/>
  <c r="G412" i="3" s="1"/>
  <c r="Q412" i="1"/>
  <c r="G413" i="3" s="1"/>
  <c r="Q413" i="1"/>
  <c r="G414" i="3" s="1"/>
  <c r="Q414" i="1"/>
  <c r="G415" i="3" s="1"/>
  <c r="Q415" i="1"/>
  <c r="G416" i="3" s="1"/>
  <c r="Q416" i="1"/>
  <c r="G417" i="3" s="1"/>
  <c r="Q417" i="1"/>
  <c r="G418" i="3" s="1"/>
  <c r="Q418" i="1"/>
  <c r="G419" i="3" s="1"/>
  <c r="Q419" i="1"/>
  <c r="G420" i="3" s="1"/>
  <c r="Q420" i="1"/>
  <c r="G421" i="3" s="1"/>
  <c r="Q421" i="1"/>
  <c r="G422" i="3" s="1"/>
  <c r="Q422" i="1"/>
  <c r="G423" i="3" s="1"/>
  <c r="Q423" i="1"/>
  <c r="G424" i="3" s="1"/>
  <c r="P2" i="1"/>
  <c r="P3" i="1"/>
  <c r="F4" i="3" s="1"/>
  <c r="P4" i="1"/>
  <c r="F5" i="3" s="1"/>
  <c r="P5" i="1"/>
  <c r="F6" i="3" s="1"/>
  <c r="P6" i="1"/>
  <c r="F7" i="3" s="1"/>
  <c r="P7" i="1"/>
  <c r="F8" i="3" s="1"/>
  <c r="P8" i="1"/>
  <c r="F9" i="3" s="1"/>
  <c r="P9" i="1"/>
  <c r="F10" i="3" s="1"/>
  <c r="P10" i="1"/>
  <c r="F11" i="3" s="1"/>
  <c r="P11" i="1"/>
  <c r="F12" i="3" s="1"/>
  <c r="P12" i="1"/>
  <c r="F13" i="3" s="1"/>
  <c r="P13" i="1"/>
  <c r="F14" i="3" s="1"/>
  <c r="P14" i="1"/>
  <c r="F15" i="3" s="1"/>
  <c r="P15" i="1"/>
  <c r="F16" i="3" s="1"/>
  <c r="P16" i="1"/>
  <c r="F17" i="3" s="1"/>
  <c r="P17" i="1"/>
  <c r="F18" i="3" s="1"/>
  <c r="P18" i="1"/>
  <c r="F19" i="3" s="1"/>
  <c r="P19" i="1"/>
  <c r="F20" i="3" s="1"/>
  <c r="P20" i="1"/>
  <c r="F21" i="3" s="1"/>
  <c r="P21" i="1"/>
  <c r="F22" i="3" s="1"/>
  <c r="P22" i="1"/>
  <c r="F23" i="3" s="1"/>
  <c r="P23" i="1"/>
  <c r="F24" i="3" s="1"/>
  <c r="P24" i="1"/>
  <c r="F25" i="3" s="1"/>
  <c r="P25" i="1"/>
  <c r="F26" i="3" s="1"/>
  <c r="P26" i="1"/>
  <c r="F27" i="3" s="1"/>
  <c r="P27" i="1"/>
  <c r="F28" i="3" s="1"/>
  <c r="P28" i="1"/>
  <c r="F29" i="3" s="1"/>
  <c r="P29" i="1"/>
  <c r="F30" i="3" s="1"/>
  <c r="P30" i="1"/>
  <c r="F31" i="3" s="1"/>
  <c r="P31" i="1"/>
  <c r="F32" i="3" s="1"/>
  <c r="P32" i="1"/>
  <c r="F33" i="3" s="1"/>
  <c r="P33" i="1"/>
  <c r="F34" i="3" s="1"/>
  <c r="P34" i="1"/>
  <c r="F35" i="3" s="1"/>
  <c r="P35" i="1"/>
  <c r="F36" i="3" s="1"/>
  <c r="P36" i="1"/>
  <c r="F37" i="3" s="1"/>
  <c r="P37" i="1"/>
  <c r="F38" i="3" s="1"/>
  <c r="P38" i="1"/>
  <c r="F39" i="3" s="1"/>
  <c r="P39" i="1"/>
  <c r="F40" i="3" s="1"/>
  <c r="P40" i="1"/>
  <c r="F41" i="3" s="1"/>
  <c r="P41" i="1"/>
  <c r="F42" i="3" s="1"/>
  <c r="P42" i="1"/>
  <c r="F43" i="3" s="1"/>
  <c r="P43" i="1"/>
  <c r="F44" i="3" s="1"/>
  <c r="P44" i="1"/>
  <c r="F45" i="3" s="1"/>
  <c r="P45" i="1"/>
  <c r="F46" i="3" s="1"/>
  <c r="P46" i="1"/>
  <c r="F47" i="3" s="1"/>
  <c r="P47" i="1"/>
  <c r="F48" i="3" s="1"/>
  <c r="P48" i="1"/>
  <c r="F49" i="3" s="1"/>
  <c r="P49" i="1"/>
  <c r="F50" i="3" s="1"/>
  <c r="P50" i="1"/>
  <c r="F51" i="3" s="1"/>
  <c r="P51" i="1"/>
  <c r="F52" i="3" s="1"/>
  <c r="P52" i="1"/>
  <c r="F53" i="3" s="1"/>
  <c r="P53" i="1"/>
  <c r="F54" i="3" s="1"/>
  <c r="P54" i="1"/>
  <c r="F55" i="3" s="1"/>
  <c r="P55" i="1"/>
  <c r="F56" i="3" s="1"/>
  <c r="P56" i="1"/>
  <c r="F57" i="3" s="1"/>
  <c r="P57" i="1"/>
  <c r="F58" i="3" s="1"/>
  <c r="P58" i="1"/>
  <c r="F59" i="3" s="1"/>
  <c r="P59" i="1"/>
  <c r="F60" i="3" s="1"/>
  <c r="P60" i="1"/>
  <c r="F61" i="3" s="1"/>
  <c r="P61" i="1"/>
  <c r="F62" i="3" s="1"/>
  <c r="P62" i="1"/>
  <c r="F63" i="3" s="1"/>
  <c r="P63" i="1"/>
  <c r="F64" i="3" s="1"/>
  <c r="P64" i="1"/>
  <c r="F65" i="3" s="1"/>
  <c r="P65" i="1"/>
  <c r="F66" i="3" s="1"/>
  <c r="P66" i="1"/>
  <c r="F67" i="3" s="1"/>
  <c r="P67" i="1"/>
  <c r="F68" i="3" s="1"/>
  <c r="P68" i="1"/>
  <c r="F69" i="3" s="1"/>
  <c r="P69" i="1"/>
  <c r="F70" i="3" s="1"/>
  <c r="P70" i="1"/>
  <c r="F71" i="3" s="1"/>
  <c r="P71" i="1"/>
  <c r="F72" i="3" s="1"/>
  <c r="P72" i="1"/>
  <c r="F73" i="3" s="1"/>
  <c r="P73" i="1"/>
  <c r="F74" i="3" s="1"/>
  <c r="P74" i="1"/>
  <c r="F75" i="3" s="1"/>
  <c r="P75" i="1"/>
  <c r="F76" i="3" s="1"/>
  <c r="P76" i="1"/>
  <c r="F77" i="3" s="1"/>
  <c r="P77" i="1"/>
  <c r="F78" i="3" s="1"/>
  <c r="P78" i="1"/>
  <c r="F79" i="3" s="1"/>
  <c r="P79" i="1"/>
  <c r="F80" i="3" s="1"/>
  <c r="P80" i="1"/>
  <c r="F81" i="3" s="1"/>
  <c r="P81" i="1"/>
  <c r="F82" i="3" s="1"/>
  <c r="P82" i="1"/>
  <c r="F83" i="3" s="1"/>
  <c r="P83" i="1"/>
  <c r="F84" i="3" s="1"/>
  <c r="P84" i="1"/>
  <c r="F85" i="3" s="1"/>
  <c r="P85" i="1"/>
  <c r="F86" i="3" s="1"/>
  <c r="P86" i="1"/>
  <c r="F87" i="3" s="1"/>
  <c r="P87" i="1"/>
  <c r="F88" i="3" s="1"/>
  <c r="P88" i="1"/>
  <c r="F89" i="3" s="1"/>
  <c r="P89" i="1"/>
  <c r="F90" i="3" s="1"/>
  <c r="P90" i="1"/>
  <c r="F91" i="3" s="1"/>
  <c r="P91" i="1"/>
  <c r="F92" i="3" s="1"/>
  <c r="P92" i="1"/>
  <c r="F93" i="3" s="1"/>
  <c r="P93" i="1"/>
  <c r="F94" i="3" s="1"/>
  <c r="P94" i="1"/>
  <c r="F95" i="3" s="1"/>
  <c r="P95" i="1"/>
  <c r="F96" i="3" s="1"/>
  <c r="P96" i="1"/>
  <c r="F97" i="3" s="1"/>
  <c r="P97" i="1"/>
  <c r="F98" i="3" s="1"/>
  <c r="P98" i="1"/>
  <c r="F99" i="3" s="1"/>
  <c r="P99" i="1"/>
  <c r="F100" i="3" s="1"/>
  <c r="P100" i="1"/>
  <c r="F101" i="3" s="1"/>
  <c r="P101" i="1"/>
  <c r="F102" i="3" s="1"/>
  <c r="P102" i="1"/>
  <c r="F103" i="3" s="1"/>
  <c r="P103" i="1"/>
  <c r="F104" i="3" s="1"/>
  <c r="P104" i="1"/>
  <c r="F105" i="3" s="1"/>
  <c r="P105" i="1"/>
  <c r="F106" i="3" s="1"/>
  <c r="P106" i="1"/>
  <c r="F107" i="3" s="1"/>
  <c r="P107" i="1"/>
  <c r="F108" i="3" s="1"/>
  <c r="P108" i="1"/>
  <c r="F109" i="3" s="1"/>
  <c r="P109" i="1"/>
  <c r="F110" i="3" s="1"/>
  <c r="P110" i="1"/>
  <c r="F111" i="3" s="1"/>
  <c r="P111" i="1"/>
  <c r="F112" i="3" s="1"/>
  <c r="P112" i="1"/>
  <c r="F113" i="3" s="1"/>
  <c r="P113" i="1"/>
  <c r="F114" i="3" s="1"/>
  <c r="P115" i="1"/>
  <c r="F116" i="3" s="1"/>
  <c r="P117" i="1"/>
  <c r="F118" i="3" s="1"/>
  <c r="P119" i="1"/>
  <c r="F120" i="3" s="1"/>
  <c r="P121" i="1"/>
  <c r="F122" i="3" s="1"/>
  <c r="P122" i="1"/>
  <c r="F123" i="3" s="1"/>
  <c r="P123" i="1"/>
  <c r="F124" i="3" s="1"/>
  <c r="P124" i="1"/>
  <c r="F125" i="3" s="1"/>
  <c r="P125" i="1"/>
  <c r="F126" i="3" s="1"/>
  <c r="P126" i="1"/>
  <c r="F127" i="3" s="1"/>
  <c r="P127" i="1"/>
  <c r="F128" i="3" s="1"/>
  <c r="P128" i="1"/>
  <c r="F129" i="3" s="1"/>
  <c r="P129" i="1"/>
  <c r="F130" i="3" s="1"/>
  <c r="P130" i="1"/>
  <c r="F131" i="3" s="1"/>
  <c r="P131" i="1"/>
  <c r="F132" i="3" s="1"/>
  <c r="P132" i="1"/>
  <c r="F133" i="3" s="1"/>
  <c r="P133" i="1"/>
  <c r="F134" i="3" s="1"/>
  <c r="P134" i="1"/>
  <c r="F135" i="3" s="1"/>
  <c r="P135" i="1"/>
  <c r="F136" i="3" s="1"/>
  <c r="P136" i="1"/>
  <c r="F137" i="3" s="1"/>
  <c r="P137" i="1"/>
  <c r="F138" i="3" s="1"/>
  <c r="P138" i="1"/>
  <c r="F139" i="3" s="1"/>
  <c r="P139" i="1"/>
  <c r="F140" i="3" s="1"/>
  <c r="P140" i="1"/>
  <c r="F141" i="3" s="1"/>
  <c r="P141" i="1"/>
  <c r="F142" i="3" s="1"/>
  <c r="P142" i="1"/>
  <c r="F143" i="3" s="1"/>
  <c r="P143" i="1"/>
  <c r="F144" i="3" s="1"/>
  <c r="P144" i="1"/>
  <c r="F145" i="3" s="1"/>
  <c r="P145" i="1"/>
  <c r="F146" i="3" s="1"/>
  <c r="P146" i="1"/>
  <c r="F147" i="3" s="1"/>
  <c r="P147" i="1"/>
  <c r="F148" i="3" s="1"/>
  <c r="P148" i="1"/>
  <c r="F149" i="3" s="1"/>
  <c r="P149" i="1"/>
  <c r="F150" i="3" s="1"/>
  <c r="P150" i="1"/>
  <c r="F151" i="3" s="1"/>
  <c r="P151" i="1"/>
  <c r="F152" i="3" s="1"/>
  <c r="P152" i="1"/>
  <c r="F153" i="3" s="1"/>
  <c r="P153" i="1"/>
  <c r="F154" i="3" s="1"/>
  <c r="P154" i="1"/>
  <c r="F155" i="3" s="1"/>
  <c r="P155" i="1"/>
  <c r="F156" i="3" s="1"/>
  <c r="P156" i="1"/>
  <c r="F157" i="3" s="1"/>
  <c r="P157" i="1"/>
  <c r="F158" i="3" s="1"/>
  <c r="P158" i="1"/>
  <c r="F159" i="3" s="1"/>
  <c r="P159" i="1"/>
  <c r="F160" i="3" s="1"/>
  <c r="P160" i="1"/>
  <c r="F161" i="3" s="1"/>
  <c r="P161" i="1"/>
  <c r="F162" i="3" s="1"/>
  <c r="P162" i="1"/>
  <c r="F163" i="3" s="1"/>
  <c r="P163" i="1"/>
  <c r="F164" i="3" s="1"/>
  <c r="P164" i="1"/>
  <c r="F165" i="3" s="1"/>
  <c r="P165" i="1"/>
  <c r="F166" i="3" s="1"/>
  <c r="P166" i="1"/>
  <c r="F167" i="3" s="1"/>
  <c r="P167" i="1"/>
  <c r="F168" i="3" s="1"/>
  <c r="P168" i="1"/>
  <c r="F169" i="3" s="1"/>
  <c r="P169" i="1"/>
  <c r="F170" i="3" s="1"/>
  <c r="P170" i="1"/>
  <c r="F171" i="3" s="1"/>
  <c r="P171" i="1"/>
  <c r="F172" i="3" s="1"/>
  <c r="P172" i="1"/>
  <c r="F173" i="3" s="1"/>
  <c r="P173" i="1"/>
  <c r="F174" i="3" s="1"/>
  <c r="P174" i="1"/>
  <c r="F175" i="3" s="1"/>
  <c r="P175" i="1"/>
  <c r="F176" i="3" s="1"/>
  <c r="P176" i="1"/>
  <c r="F177" i="3" s="1"/>
  <c r="P177" i="1"/>
  <c r="F178" i="3" s="1"/>
  <c r="P178" i="1"/>
  <c r="F179" i="3" s="1"/>
  <c r="P179" i="1"/>
  <c r="F180" i="3" s="1"/>
  <c r="P180" i="1"/>
  <c r="F181" i="3" s="1"/>
  <c r="P181" i="1"/>
  <c r="F182" i="3" s="1"/>
  <c r="P182" i="1"/>
  <c r="F183" i="3" s="1"/>
  <c r="P183" i="1"/>
  <c r="F184" i="3" s="1"/>
  <c r="P184" i="1"/>
  <c r="F185" i="3" s="1"/>
  <c r="P185" i="1"/>
  <c r="F186" i="3" s="1"/>
  <c r="P186" i="1"/>
  <c r="F187" i="3" s="1"/>
  <c r="P187" i="1"/>
  <c r="F188" i="3" s="1"/>
  <c r="P188" i="1"/>
  <c r="F189" i="3" s="1"/>
  <c r="P189" i="1"/>
  <c r="F190" i="3" s="1"/>
  <c r="P190" i="1"/>
  <c r="F191" i="3" s="1"/>
  <c r="P191" i="1"/>
  <c r="F192" i="3" s="1"/>
  <c r="P192" i="1"/>
  <c r="F193" i="3" s="1"/>
  <c r="P193" i="1"/>
  <c r="F194" i="3" s="1"/>
  <c r="P194" i="1"/>
  <c r="F195" i="3" s="1"/>
  <c r="P195" i="1"/>
  <c r="F196" i="3" s="1"/>
  <c r="P196" i="1"/>
  <c r="F197" i="3" s="1"/>
  <c r="P197" i="1"/>
  <c r="F198" i="3" s="1"/>
  <c r="P198" i="1"/>
  <c r="F199" i="3" s="1"/>
  <c r="P199" i="1"/>
  <c r="F200" i="3" s="1"/>
  <c r="P200" i="1"/>
  <c r="F201" i="3" s="1"/>
  <c r="P201" i="1"/>
  <c r="F202" i="3" s="1"/>
  <c r="P202" i="1"/>
  <c r="F203" i="3" s="1"/>
  <c r="P203" i="1"/>
  <c r="F204" i="3" s="1"/>
  <c r="P204" i="1"/>
  <c r="F205" i="3" s="1"/>
  <c r="P205" i="1"/>
  <c r="F206" i="3" s="1"/>
  <c r="P206" i="1"/>
  <c r="F207" i="3" s="1"/>
  <c r="P207" i="1"/>
  <c r="F208" i="3" s="1"/>
  <c r="P208" i="1"/>
  <c r="F209" i="3" s="1"/>
  <c r="P209" i="1"/>
  <c r="F210" i="3" s="1"/>
  <c r="P210" i="1"/>
  <c r="F211" i="3" s="1"/>
  <c r="P211" i="1"/>
  <c r="F212" i="3" s="1"/>
  <c r="P212" i="1"/>
  <c r="F213" i="3" s="1"/>
  <c r="P213" i="1"/>
  <c r="F214" i="3" s="1"/>
  <c r="P214" i="1"/>
  <c r="F215" i="3" s="1"/>
  <c r="P215" i="1"/>
  <c r="F216" i="3" s="1"/>
  <c r="P216" i="1"/>
  <c r="F217" i="3" s="1"/>
  <c r="P217" i="1"/>
  <c r="F218" i="3" s="1"/>
  <c r="P218" i="1"/>
  <c r="F219" i="3" s="1"/>
  <c r="P219" i="1"/>
  <c r="F220" i="3" s="1"/>
  <c r="P220" i="1"/>
  <c r="F221" i="3" s="1"/>
  <c r="P221" i="1"/>
  <c r="F222" i="3" s="1"/>
  <c r="P222" i="1"/>
  <c r="F223" i="3" s="1"/>
  <c r="P223" i="1"/>
  <c r="F224" i="3" s="1"/>
  <c r="P224" i="1"/>
  <c r="F225" i="3" s="1"/>
  <c r="P225" i="1"/>
  <c r="F226" i="3" s="1"/>
  <c r="P226" i="1"/>
  <c r="F227" i="3" s="1"/>
  <c r="P227" i="1"/>
  <c r="F228" i="3" s="1"/>
  <c r="P228" i="1"/>
  <c r="F229" i="3" s="1"/>
  <c r="P229" i="1"/>
  <c r="F230" i="3" s="1"/>
  <c r="P230" i="1"/>
  <c r="F231" i="3" s="1"/>
  <c r="P231" i="1"/>
  <c r="F232" i="3" s="1"/>
  <c r="P232" i="1"/>
  <c r="F233" i="3" s="1"/>
  <c r="P233" i="1"/>
  <c r="F234" i="3" s="1"/>
  <c r="P234" i="1"/>
  <c r="F235" i="3" s="1"/>
  <c r="P235" i="1"/>
  <c r="F236" i="3" s="1"/>
  <c r="P236" i="1"/>
  <c r="F237" i="3" s="1"/>
  <c r="P237" i="1"/>
  <c r="F238" i="3" s="1"/>
  <c r="P238" i="1"/>
  <c r="F239" i="3" s="1"/>
  <c r="P239" i="1"/>
  <c r="F240" i="3" s="1"/>
  <c r="P240" i="1"/>
  <c r="F241" i="3" s="1"/>
  <c r="P241" i="1"/>
  <c r="F242" i="3" s="1"/>
  <c r="P242" i="1"/>
  <c r="F243" i="3" s="1"/>
  <c r="P243" i="1"/>
  <c r="F244" i="3" s="1"/>
  <c r="P244" i="1"/>
  <c r="F245" i="3" s="1"/>
  <c r="P245" i="1"/>
  <c r="F246" i="3" s="1"/>
  <c r="P246" i="1"/>
  <c r="F247" i="3" s="1"/>
  <c r="P247" i="1"/>
  <c r="F248" i="3" s="1"/>
  <c r="P248" i="1"/>
  <c r="F249" i="3" s="1"/>
  <c r="P249" i="1"/>
  <c r="F250" i="3" s="1"/>
  <c r="P250" i="1"/>
  <c r="F251" i="3" s="1"/>
  <c r="P251" i="1"/>
  <c r="F252" i="3" s="1"/>
  <c r="P252" i="1"/>
  <c r="F253" i="3" s="1"/>
  <c r="P253" i="1"/>
  <c r="F254" i="3" s="1"/>
  <c r="P254" i="1"/>
  <c r="F255" i="3" s="1"/>
  <c r="P255" i="1"/>
  <c r="F256" i="3" s="1"/>
  <c r="P256" i="1"/>
  <c r="F257" i="3" s="1"/>
  <c r="P257" i="1"/>
  <c r="F258" i="3" s="1"/>
  <c r="P258" i="1"/>
  <c r="F259" i="3" s="1"/>
  <c r="P259" i="1"/>
  <c r="F260" i="3" s="1"/>
  <c r="P260" i="1"/>
  <c r="F261" i="3" s="1"/>
  <c r="P261" i="1"/>
  <c r="F262" i="3" s="1"/>
  <c r="P262" i="1"/>
  <c r="F263" i="3" s="1"/>
  <c r="P263" i="1"/>
  <c r="F264" i="3" s="1"/>
  <c r="P264" i="1"/>
  <c r="F265" i="3" s="1"/>
  <c r="P265" i="1"/>
  <c r="F266" i="3" s="1"/>
  <c r="P266" i="1"/>
  <c r="F267" i="3" s="1"/>
  <c r="P267" i="1"/>
  <c r="F268" i="3" s="1"/>
  <c r="P268" i="1"/>
  <c r="F269" i="3" s="1"/>
  <c r="P269" i="1"/>
  <c r="F270" i="3" s="1"/>
  <c r="P270" i="1"/>
  <c r="F271" i="3" s="1"/>
  <c r="P271" i="1"/>
  <c r="F272" i="3" s="1"/>
  <c r="P272" i="1"/>
  <c r="F273" i="3" s="1"/>
  <c r="P273" i="1"/>
  <c r="F274" i="3" s="1"/>
  <c r="P274" i="1"/>
  <c r="F275" i="3" s="1"/>
  <c r="P275" i="1"/>
  <c r="F276" i="3" s="1"/>
  <c r="P276" i="1"/>
  <c r="F277" i="3" s="1"/>
  <c r="P277" i="1"/>
  <c r="F278" i="3" s="1"/>
  <c r="P278" i="1"/>
  <c r="F279" i="3" s="1"/>
  <c r="P279" i="1"/>
  <c r="F280" i="3" s="1"/>
  <c r="P280" i="1"/>
  <c r="F281" i="3" s="1"/>
  <c r="P281" i="1"/>
  <c r="F282" i="3" s="1"/>
  <c r="P282" i="1"/>
  <c r="F283" i="3" s="1"/>
  <c r="P283" i="1"/>
  <c r="F284" i="3" s="1"/>
  <c r="P284" i="1"/>
  <c r="F285" i="3" s="1"/>
  <c r="P285" i="1"/>
  <c r="F286" i="3" s="1"/>
  <c r="P286" i="1"/>
  <c r="F287" i="3" s="1"/>
  <c r="P287" i="1"/>
  <c r="F288" i="3" s="1"/>
  <c r="P288" i="1"/>
  <c r="F289" i="3" s="1"/>
  <c r="P289" i="1"/>
  <c r="F290" i="3" s="1"/>
  <c r="P290" i="1"/>
  <c r="F291" i="3" s="1"/>
  <c r="P293" i="1"/>
  <c r="F294" i="3" s="1"/>
  <c r="P294" i="1"/>
  <c r="F295" i="3" s="1"/>
  <c r="P295" i="1"/>
  <c r="F296" i="3" s="1"/>
  <c r="P296" i="1"/>
  <c r="F297" i="3" s="1"/>
  <c r="P297" i="1"/>
  <c r="F298" i="3" s="1"/>
  <c r="P298" i="1"/>
  <c r="F299" i="3" s="1"/>
  <c r="P299" i="1"/>
  <c r="F300" i="3" s="1"/>
  <c r="P300" i="1"/>
  <c r="F301" i="3" s="1"/>
  <c r="P301" i="1"/>
  <c r="F302" i="3" s="1"/>
  <c r="P302" i="1"/>
  <c r="F303" i="3" s="1"/>
  <c r="P303" i="1"/>
  <c r="F304" i="3" s="1"/>
  <c r="P304" i="1"/>
  <c r="F305" i="3" s="1"/>
  <c r="P305" i="1"/>
  <c r="F306" i="3" s="1"/>
  <c r="P306" i="1"/>
  <c r="F307" i="3" s="1"/>
  <c r="P307" i="1"/>
  <c r="F308" i="3" s="1"/>
  <c r="P308" i="1"/>
  <c r="P309" i="1"/>
  <c r="P310" i="1"/>
  <c r="P311" i="1"/>
  <c r="F312" i="3" s="1"/>
  <c r="P312" i="1"/>
  <c r="P313" i="1"/>
  <c r="P314" i="1"/>
  <c r="P315" i="1"/>
  <c r="F316" i="3" s="1"/>
  <c r="P291" i="1"/>
  <c r="F292" i="3" s="1"/>
  <c r="P292" i="1"/>
  <c r="F293" i="3" s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F378" i="3" s="1"/>
  <c r="P378" i="1"/>
  <c r="F379" i="3" s="1"/>
  <c r="P379" i="1"/>
  <c r="F380" i="3" s="1"/>
  <c r="P380" i="1"/>
  <c r="F381" i="3" s="1"/>
  <c r="P381" i="1"/>
  <c r="F382" i="3" s="1"/>
  <c r="P382" i="1"/>
  <c r="F383" i="3" s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F402" i="3" s="1"/>
  <c r="P402" i="1"/>
  <c r="F403" i="3" s="1"/>
  <c r="P403" i="1"/>
  <c r="F404" i="3" s="1"/>
  <c r="P404" i="1"/>
  <c r="F405" i="3" s="1"/>
  <c r="P405" i="1"/>
  <c r="F406" i="3" s="1"/>
  <c r="P406" i="1"/>
  <c r="F407" i="3" s="1"/>
  <c r="P407" i="1"/>
  <c r="F408" i="3" s="1"/>
  <c r="P408" i="1"/>
  <c r="F409" i="3" s="1"/>
  <c r="P409" i="1"/>
  <c r="F410" i="3" s="1"/>
  <c r="P410" i="1"/>
  <c r="F411" i="3" s="1"/>
  <c r="P411" i="1"/>
  <c r="F412" i="3" s="1"/>
  <c r="P412" i="1"/>
  <c r="F413" i="3" s="1"/>
  <c r="P413" i="1"/>
  <c r="F414" i="3" s="1"/>
  <c r="P414" i="1"/>
  <c r="F415" i="3" s="1"/>
  <c r="P415" i="1"/>
  <c r="F416" i="3" s="1"/>
  <c r="P416" i="1"/>
  <c r="F417" i="3" s="1"/>
  <c r="P417" i="1"/>
  <c r="F418" i="3" s="1"/>
  <c r="P418" i="1"/>
  <c r="F419" i="3" s="1"/>
  <c r="P419" i="1"/>
  <c r="F420" i="3" s="1"/>
  <c r="P420" i="1"/>
  <c r="F421" i="3" s="1"/>
  <c r="P421" i="1"/>
  <c r="F422" i="3" s="1"/>
  <c r="P422" i="1"/>
  <c r="F423" i="3" s="1"/>
  <c r="P423" i="1"/>
  <c r="F424" i="3" s="1"/>
  <c r="O3" i="1"/>
  <c r="E4" i="3" s="1"/>
  <c r="O4" i="1"/>
  <c r="E5" i="3" s="1"/>
  <c r="O5" i="1"/>
  <c r="E6" i="3" s="1"/>
  <c r="O6" i="1"/>
  <c r="E7" i="3" s="1"/>
  <c r="O7" i="1"/>
  <c r="E8" i="3" s="1"/>
  <c r="O8" i="1"/>
  <c r="E9" i="3" s="1"/>
  <c r="O9" i="1"/>
  <c r="E10" i="3" s="1"/>
  <c r="O10" i="1"/>
  <c r="E11" i="3" s="1"/>
  <c r="O11" i="1"/>
  <c r="E12" i="3" s="1"/>
  <c r="O12" i="1"/>
  <c r="E13" i="3" s="1"/>
  <c r="O13" i="1"/>
  <c r="E14" i="3" s="1"/>
  <c r="O14" i="1"/>
  <c r="E15" i="3" s="1"/>
  <c r="O15" i="1"/>
  <c r="E16" i="3" s="1"/>
  <c r="O16" i="1"/>
  <c r="E17" i="3" s="1"/>
  <c r="O17" i="1"/>
  <c r="E18" i="3" s="1"/>
  <c r="O18" i="1"/>
  <c r="E19" i="3" s="1"/>
  <c r="O19" i="1"/>
  <c r="E20" i="3" s="1"/>
  <c r="O20" i="1"/>
  <c r="E21" i="3" s="1"/>
  <c r="O21" i="1"/>
  <c r="E22" i="3" s="1"/>
  <c r="O22" i="1"/>
  <c r="E23" i="3" s="1"/>
  <c r="O23" i="1"/>
  <c r="E24" i="3" s="1"/>
  <c r="O24" i="1"/>
  <c r="E25" i="3" s="1"/>
  <c r="O25" i="1"/>
  <c r="E26" i="3" s="1"/>
  <c r="O26" i="1"/>
  <c r="E27" i="3" s="1"/>
  <c r="O27" i="1"/>
  <c r="E28" i="3" s="1"/>
  <c r="O28" i="1"/>
  <c r="E29" i="3" s="1"/>
  <c r="O29" i="1"/>
  <c r="E30" i="3" s="1"/>
  <c r="O30" i="1"/>
  <c r="E31" i="3" s="1"/>
  <c r="O31" i="1"/>
  <c r="E32" i="3" s="1"/>
  <c r="O32" i="1"/>
  <c r="E33" i="3" s="1"/>
  <c r="O33" i="1"/>
  <c r="E34" i="3" s="1"/>
  <c r="O34" i="1"/>
  <c r="E35" i="3" s="1"/>
  <c r="O35" i="1"/>
  <c r="E36" i="3" s="1"/>
  <c r="O36" i="1"/>
  <c r="E37" i="3" s="1"/>
  <c r="O37" i="1"/>
  <c r="E38" i="3" s="1"/>
  <c r="O38" i="1"/>
  <c r="E39" i="3" s="1"/>
  <c r="O39" i="1"/>
  <c r="E40" i="3" s="1"/>
  <c r="O40" i="1"/>
  <c r="E41" i="3" s="1"/>
  <c r="O41" i="1"/>
  <c r="E42" i="3" s="1"/>
  <c r="O42" i="1"/>
  <c r="E43" i="3" s="1"/>
  <c r="O43" i="1"/>
  <c r="E44" i="3" s="1"/>
  <c r="O44" i="1"/>
  <c r="E45" i="3" s="1"/>
  <c r="O45" i="1"/>
  <c r="E46" i="3" s="1"/>
  <c r="O46" i="1"/>
  <c r="E47" i="3" s="1"/>
  <c r="O47" i="1"/>
  <c r="E48" i="3" s="1"/>
  <c r="O48" i="1"/>
  <c r="E49" i="3" s="1"/>
  <c r="O49" i="1"/>
  <c r="E50" i="3" s="1"/>
  <c r="O50" i="1"/>
  <c r="E51" i="3" s="1"/>
  <c r="O51" i="1"/>
  <c r="E52" i="3" s="1"/>
  <c r="O52" i="1"/>
  <c r="E53" i="3" s="1"/>
  <c r="O53" i="1"/>
  <c r="E54" i="3" s="1"/>
  <c r="O54" i="1"/>
  <c r="E55" i="3" s="1"/>
  <c r="O55" i="1"/>
  <c r="E56" i="3" s="1"/>
  <c r="O56" i="1"/>
  <c r="E57" i="3" s="1"/>
  <c r="O57" i="1"/>
  <c r="E58" i="3" s="1"/>
  <c r="O58" i="1"/>
  <c r="E59" i="3" s="1"/>
  <c r="O59" i="1"/>
  <c r="E60" i="3" s="1"/>
  <c r="O60" i="1"/>
  <c r="E61" i="3" s="1"/>
  <c r="O61" i="1"/>
  <c r="E62" i="3" s="1"/>
  <c r="O62" i="1"/>
  <c r="E63" i="3" s="1"/>
  <c r="O63" i="1"/>
  <c r="E64" i="3" s="1"/>
  <c r="O64" i="1"/>
  <c r="E65" i="3" s="1"/>
  <c r="O65" i="1"/>
  <c r="E66" i="3" s="1"/>
  <c r="O66" i="1"/>
  <c r="E67" i="3" s="1"/>
  <c r="O67" i="1"/>
  <c r="E68" i="3" s="1"/>
  <c r="O68" i="1"/>
  <c r="E69" i="3" s="1"/>
  <c r="O69" i="1"/>
  <c r="E70" i="3" s="1"/>
  <c r="O70" i="1"/>
  <c r="E71" i="3" s="1"/>
  <c r="O71" i="1"/>
  <c r="E72" i="3" s="1"/>
  <c r="O72" i="1"/>
  <c r="E73" i="3" s="1"/>
  <c r="O73" i="1"/>
  <c r="E74" i="3" s="1"/>
  <c r="O74" i="1"/>
  <c r="E75" i="3" s="1"/>
  <c r="O75" i="1"/>
  <c r="E76" i="3" s="1"/>
  <c r="O76" i="1"/>
  <c r="E77" i="3" s="1"/>
  <c r="O77" i="1"/>
  <c r="E78" i="3" s="1"/>
  <c r="O78" i="1"/>
  <c r="E79" i="3" s="1"/>
  <c r="O79" i="1"/>
  <c r="E80" i="3" s="1"/>
  <c r="O80" i="1"/>
  <c r="E81" i="3" s="1"/>
  <c r="O81" i="1"/>
  <c r="E82" i="3" s="1"/>
  <c r="O82" i="1"/>
  <c r="E83" i="3" s="1"/>
  <c r="O83" i="1"/>
  <c r="E84" i="3" s="1"/>
  <c r="O84" i="1"/>
  <c r="E85" i="3" s="1"/>
  <c r="O85" i="1"/>
  <c r="E86" i="3" s="1"/>
  <c r="O86" i="1"/>
  <c r="E87" i="3" s="1"/>
  <c r="O87" i="1"/>
  <c r="E88" i="3" s="1"/>
  <c r="O88" i="1"/>
  <c r="E89" i="3" s="1"/>
  <c r="O89" i="1"/>
  <c r="E90" i="3" s="1"/>
  <c r="O90" i="1"/>
  <c r="E91" i="3" s="1"/>
  <c r="O91" i="1"/>
  <c r="E92" i="3" s="1"/>
  <c r="O92" i="1"/>
  <c r="E93" i="3" s="1"/>
  <c r="O93" i="1"/>
  <c r="E94" i="3" s="1"/>
  <c r="O94" i="1"/>
  <c r="E95" i="3" s="1"/>
  <c r="O95" i="1"/>
  <c r="E96" i="3" s="1"/>
  <c r="O96" i="1"/>
  <c r="E97" i="3" s="1"/>
  <c r="O97" i="1"/>
  <c r="E98" i="3" s="1"/>
  <c r="O98" i="1"/>
  <c r="E99" i="3" s="1"/>
  <c r="O99" i="1"/>
  <c r="E100" i="3" s="1"/>
  <c r="O100" i="1"/>
  <c r="E101" i="3" s="1"/>
  <c r="O101" i="1"/>
  <c r="E102" i="3" s="1"/>
  <c r="O102" i="1"/>
  <c r="E103" i="3" s="1"/>
  <c r="O103" i="1"/>
  <c r="E104" i="3" s="1"/>
  <c r="O104" i="1"/>
  <c r="E105" i="3" s="1"/>
  <c r="O105" i="1"/>
  <c r="E106" i="3" s="1"/>
  <c r="O106" i="1"/>
  <c r="E107" i="3" s="1"/>
  <c r="O107" i="1"/>
  <c r="E108" i="3" s="1"/>
  <c r="O108" i="1"/>
  <c r="E109" i="3" s="1"/>
  <c r="O109" i="1"/>
  <c r="E110" i="3" s="1"/>
  <c r="O110" i="1"/>
  <c r="E111" i="3" s="1"/>
  <c r="O111" i="1"/>
  <c r="E112" i="3" s="1"/>
  <c r="O112" i="1"/>
  <c r="E113" i="3" s="1"/>
  <c r="O113" i="1"/>
  <c r="E114" i="3" s="1"/>
  <c r="O115" i="1"/>
  <c r="E116" i="3" s="1"/>
  <c r="O117" i="1"/>
  <c r="E118" i="3" s="1"/>
  <c r="O119" i="1"/>
  <c r="E120" i="3" s="1"/>
  <c r="O121" i="1"/>
  <c r="E122" i="3" s="1"/>
  <c r="O122" i="1"/>
  <c r="E123" i="3" s="1"/>
  <c r="O123" i="1"/>
  <c r="E124" i="3" s="1"/>
  <c r="O124" i="1"/>
  <c r="E125" i="3" s="1"/>
  <c r="O125" i="1"/>
  <c r="E126" i="3" s="1"/>
  <c r="O126" i="1"/>
  <c r="E127" i="3" s="1"/>
  <c r="O127" i="1"/>
  <c r="E128" i="3" s="1"/>
  <c r="O128" i="1"/>
  <c r="E129" i="3" s="1"/>
  <c r="O129" i="1"/>
  <c r="E130" i="3" s="1"/>
  <c r="O130" i="1"/>
  <c r="E131" i="3" s="1"/>
  <c r="O131" i="1"/>
  <c r="E132" i="3" s="1"/>
  <c r="O132" i="1"/>
  <c r="E133" i="3" s="1"/>
  <c r="O133" i="1"/>
  <c r="E134" i="3" s="1"/>
  <c r="O134" i="1"/>
  <c r="E135" i="3" s="1"/>
  <c r="O135" i="1"/>
  <c r="E136" i="3" s="1"/>
  <c r="O136" i="1"/>
  <c r="E137" i="3" s="1"/>
  <c r="O137" i="1"/>
  <c r="E138" i="3" s="1"/>
  <c r="O138" i="1"/>
  <c r="E139" i="3" s="1"/>
  <c r="O139" i="1"/>
  <c r="E140" i="3" s="1"/>
  <c r="O140" i="1"/>
  <c r="E141" i="3" s="1"/>
  <c r="O141" i="1"/>
  <c r="E142" i="3" s="1"/>
  <c r="O142" i="1"/>
  <c r="E143" i="3" s="1"/>
  <c r="O143" i="1"/>
  <c r="E144" i="3" s="1"/>
  <c r="O144" i="1"/>
  <c r="E145" i="3" s="1"/>
  <c r="O145" i="1"/>
  <c r="E146" i="3" s="1"/>
  <c r="O146" i="1"/>
  <c r="E147" i="3" s="1"/>
  <c r="O147" i="1"/>
  <c r="E148" i="3" s="1"/>
  <c r="O148" i="1"/>
  <c r="E149" i="3" s="1"/>
  <c r="O149" i="1"/>
  <c r="E150" i="3" s="1"/>
  <c r="O150" i="1"/>
  <c r="E151" i="3" s="1"/>
  <c r="O151" i="1"/>
  <c r="E152" i="3" s="1"/>
  <c r="O152" i="1"/>
  <c r="E153" i="3" s="1"/>
  <c r="O153" i="1"/>
  <c r="E154" i="3" s="1"/>
  <c r="O154" i="1"/>
  <c r="E155" i="3" s="1"/>
  <c r="O155" i="1"/>
  <c r="E156" i="3" s="1"/>
  <c r="O156" i="1"/>
  <c r="E157" i="3" s="1"/>
  <c r="O157" i="1"/>
  <c r="E158" i="3" s="1"/>
  <c r="O158" i="1"/>
  <c r="E159" i="3" s="1"/>
  <c r="O159" i="1"/>
  <c r="E160" i="3" s="1"/>
  <c r="O160" i="1"/>
  <c r="E161" i="3" s="1"/>
  <c r="O161" i="1"/>
  <c r="E162" i="3" s="1"/>
  <c r="O162" i="1"/>
  <c r="E163" i="3" s="1"/>
  <c r="O163" i="1"/>
  <c r="E164" i="3" s="1"/>
  <c r="O164" i="1"/>
  <c r="E165" i="3" s="1"/>
  <c r="O165" i="1"/>
  <c r="E166" i="3" s="1"/>
  <c r="O166" i="1"/>
  <c r="E167" i="3" s="1"/>
  <c r="O167" i="1"/>
  <c r="E168" i="3" s="1"/>
  <c r="O168" i="1"/>
  <c r="E169" i="3" s="1"/>
  <c r="O169" i="1"/>
  <c r="E170" i="3" s="1"/>
  <c r="O170" i="1"/>
  <c r="E171" i="3" s="1"/>
  <c r="O171" i="1"/>
  <c r="E172" i="3" s="1"/>
  <c r="O172" i="1"/>
  <c r="E173" i="3" s="1"/>
  <c r="O173" i="1"/>
  <c r="E174" i="3" s="1"/>
  <c r="O174" i="1"/>
  <c r="E175" i="3" s="1"/>
  <c r="O175" i="1"/>
  <c r="E176" i="3" s="1"/>
  <c r="O176" i="1"/>
  <c r="E177" i="3" s="1"/>
  <c r="O177" i="1"/>
  <c r="E178" i="3" s="1"/>
  <c r="O178" i="1"/>
  <c r="E179" i="3" s="1"/>
  <c r="O179" i="1"/>
  <c r="E180" i="3" s="1"/>
  <c r="O180" i="1"/>
  <c r="E181" i="3" s="1"/>
  <c r="O181" i="1"/>
  <c r="E182" i="3" s="1"/>
  <c r="O182" i="1"/>
  <c r="E183" i="3" s="1"/>
  <c r="O183" i="1"/>
  <c r="E184" i="3" s="1"/>
  <c r="O184" i="1"/>
  <c r="E185" i="3" s="1"/>
  <c r="O185" i="1"/>
  <c r="E186" i="3" s="1"/>
  <c r="O186" i="1"/>
  <c r="E187" i="3" s="1"/>
  <c r="O187" i="1"/>
  <c r="E188" i="3" s="1"/>
  <c r="O188" i="1"/>
  <c r="E189" i="3" s="1"/>
  <c r="O189" i="1"/>
  <c r="E190" i="3" s="1"/>
  <c r="O190" i="1"/>
  <c r="E191" i="3" s="1"/>
  <c r="O191" i="1"/>
  <c r="E192" i="3" s="1"/>
  <c r="O192" i="1"/>
  <c r="E193" i="3" s="1"/>
  <c r="O193" i="1"/>
  <c r="E194" i="3" s="1"/>
  <c r="O194" i="1"/>
  <c r="E195" i="3" s="1"/>
  <c r="O195" i="1"/>
  <c r="E196" i="3" s="1"/>
  <c r="O196" i="1"/>
  <c r="E197" i="3" s="1"/>
  <c r="O197" i="1"/>
  <c r="E198" i="3" s="1"/>
  <c r="O198" i="1"/>
  <c r="E199" i="3" s="1"/>
  <c r="O199" i="1"/>
  <c r="E200" i="3" s="1"/>
  <c r="O200" i="1"/>
  <c r="E201" i="3" s="1"/>
  <c r="O201" i="1"/>
  <c r="E202" i="3" s="1"/>
  <c r="O202" i="1"/>
  <c r="E203" i="3" s="1"/>
  <c r="O203" i="1"/>
  <c r="E204" i="3" s="1"/>
  <c r="O204" i="1"/>
  <c r="E205" i="3" s="1"/>
  <c r="O205" i="1"/>
  <c r="E206" i="3" s="1"/>
  <c r="O206" i="1"/>
  <c r="E207" i="3" s="1"/>
  <c r="O207" i="1"/>
  <c r="E208" i="3" s="1"/>
  <c r="O208" i="1"/>
  <c r="E209" i="3" s="1"/>
  <c r="O209" i="1"/>
  <c r="E210" i="3" s="1"/>
  <c r="O210" i="1"/>
  <c r="E211" i="3" s="1"/>
  <c r="O211" i="1"/>
  <c r="E212" i="3" s="1"/>
  <c r="O212" i="1"/>
  <c r="E213" i="3" s="1"/>
  <c r="O213" i="1"/>
  <c r="E214" i="3" s="1"/>
  <c r="O214" i="1"/>
  <c r="E215" i="3" s="1"/>
  <c r="O215" i="1"/>
  <c r="E216" i="3" s="1"/>
  <c r="O216" i="1"/>
  <c r="E217" i="3" s="1"/>
  <c r="O217" i="1"/>
  <c r="E218" i="3" s="1"/>
  <c r="O218" i="1"/>
  <c r="E219" i="3" s="1"/>
  <c r="O219" i="1"/>
  <c r="E220" i="3" s="1"/>
  <c r="O220" i="1"/>
  <c r="E221" i="3" s="1"/>
  <c r="O221" i="1"/>
  <c r="E222" i="3" s="1"/>
  <c r="O222" i="1"/>
  <c r="E223" i="3" s="1"/>
  <c r="O223" i="1"/>
  <c r="E224" i="3" s="1"/>
  <c r="O224" i="1"/>
  <c r="E225" i="3" s="1"/>
  <c r="O225" i="1"/>
  <c r="E226" i="3" s="1"/>
  <c r="O226" i="1"/>
  <c r="E227" i="3" s="1"/>
  <c r="O227" i="1"/>
  <c r="E228" i="3" s="1"/>
  <c r="O228" i="1"/>
  <c r="E229" i="3" s="1"/>
  <c r="O229" i="1"/>
  <c r="E230" i="3" s="1"/>
  <c r="O230" i="1"/>
  <c r="E231" i="3" s="1"/>
  <c r="O231" i="1"/>
  <c r="E232" i="3" s="1"/>
  <c r="O232" i="1"/>
  <c r="E233" i="3" s="1"/>
  <c r="O233" i="1"/>
  <c r="E234" i="3" s="1"/>
  <c r="O234" i="1"/>
  <c r="E235" i="3" s="1"/>
  <c r="O235" i="1"/>
  <c r="E236" i="3" s="1"/>
  <c r="O236" i="1"/>
  <c r="E237" i="3" s="1"/>
  <c r="O237" i="1"/>
  <c r="E238" i="3" s="1"/>
  <c r="O238" i="1"/>
  <c r="E239" i="3" s="1"/>
  <c r="O239" i="1"/>
  <c r="E240" i="3" s="1"/>
  <c r="O240" i="1"/>
  <c r="E241" i="3" s="1"/>
  <c r="O241" i="1"/>
  <c r="E242" i="3" s="1"/>
  <c r="O242" i="1"/>
  <c r="E243" i="3" s="1"/>
  <c r="O243" i="1"/>
  <c r="E244" i="3" s="1"/>
  <c r="O244" i="1"/>
  <c r="E245" i="3" s="1"/>
  <c r="O245" i="1"/>
  <c r="E246" i="3" s="1"/>
  <c r="O246" i="1"/>
  <c r="E247" i="3" s="1"/>
  <c r="O247" i="1"/>
  <c r="E248" i="3" s="1"/>
  <c r="O248" i="1"/>
  <c r="E249" i="3" s="1"/>
  <c r="O249" i="1"/>
  <c r="E250" i="3" s="1"/>
  <c r="O250" i="1"/>
  <c r="E251" i="3" s="1"/>
  <c r="O251" i="1"/>
  <c r="E252" i="3" s="1"/>
  <c r="O252" i="1"/>
  <c r="E253" i="3" s="1"/>
  <c r="O253" i="1"/>
  <c r="E254" i="3" s="1"/>
  <c r="O254" i="1"/>
  <c r="E255" i="3" s="1"/>
  <c r="O255" i="1"/>
  <c r="E256" i="3" s="1"/>
  <c r="O256" i="1"/>
  <c r="E257" i="3" s="1"/>
  <c r="O257" i="1"/>
  <c r="E258" i="3" s="1"/>
  <c r="O258" i="1"/>
  <c r="E259" i="3" s="1"/>
  <c r="O259" i="1"/>
  <c r="E260" i="3" s="1"/>
  <c r="O260" i="1"/>
  <c r="E261" i="3" s="1"/>
  <c r="O261" i="1"/>
  <c r="E262" i="3" s="1"/>
  <c r="O262" i="1"/>
  <c r="E263" i="3" s="1"/>
  <c r="O263" i="1"/>
  <c r="E264" i="3" s="1"/>
  <c r="O264" i="1"/>
  <c r="E265" i="3" s="1"/>
  <c r="O265" i="1"/>
  <c r="E266" i="3" s="1"/>
  <c r="O266" i="1"/>
  <c r="E267" i="3" s="1"/>
  <c r="O267" i="1"/>
  <c r="E268" i="3" s="1"/>
  <c r="O268" i="1"/>
  <c r="E269" i="3" s="1"/>
  <c r="O269" i="1"/>
  <c r="E270" i="3" s="1"/>
  <c r="O270" i="1"/>
  <c r="E271" i="3" s="1"/>
  <c r="O271" i="1"/>
  <c r="E272" i="3" s="1"/>
  <c r="O272" i="1"/>
  <c r="E273" i="3" s="1"/>
  <c r="O273" i="1"/>
  <c r="E274" i="3" s="1"/>
  <c r="O274" i="1"/>
  <c r="E275" i="3" s="1"/>
  <c r="O275" i="1"/>
  <c r="E276" i="3" s="1"/>
  <c r="O276" i="1"/>
  <c r="E277" i="3" s="1"/>
  <c r="O277" i="1"/>
  <c r="E278" i="3" s="1"/>
  <c r="O278" i="1"/>
  <c r="E279" i="3" s="1"/>
  <c r="O279" i="1"/>
  <c r="E280" i="3" s="1"/>
  <c r="O280" i="1"/>
  <c r="E281" i="3" s="1"/>
  <c r="O281" i="1"/>
  <c r="E282" i="3" s="1"/>
  <c r="O282" i="1"/>
  <c r="E283" i="3" s="1"/>
  <c r="O283" i="1"/>
  <c r="E284" i="3" s="1"/>
  <c r="O284" i="1"/>
  <c r="E285" i="3" s="1"/>
  <c r="O285" i="1"/>
  <c r="E286" i="3" s="1"/>
  <c r="O286" i="1"/>
  <c r="E287" i="3" s="1"/>
  <c r="O287" i="1"/>
  <c r="E288" i="3" s="1"/>
  <c r="O288" i="1"/>
  <c r="E289" i="3" s="1"/>
  <c r="O289" i="1"/>
  <c r="E290" i="3" s="1"/>
  <c r="O290" i="1"/>
  <c r="E291" i="3" s="1"/>
  <c r="O293" i="1"/>
  <c r="E294" i="3" s="1"/>
  <c r="O294" i="1"/>
  <c r="E295" i="3" s="1"/>
  <c r="O295" i="1"/>
  <c r="E296" i="3" s="1"/>
  <c r="O296" i="1"/>
  <c r="E297" i="3" s="1"/>
  <c r="O297" i="1"/>
  <c r="E298" i="3" s="1"/>
  <c r="O298" i="1"/>
  <c r="E299" i="3" s="1"/>
  <c r="O299" i="1"/>
  <c r="E300" i="3" s="1"/>
  <c r="O300" i="1"/>
  <c r="E301" i="3" s="1"/>
  <c r="O301" i="1"/>
  <c r="E302" i="3" s="1"/>
  <c r="O302" i="1"/>
  <c r="E303" i="3" s="1"/>
  <c r="O303" i="1"/>
  <c r="E304" i="3" s="1"/>
  <c r="O304" i="1"/>
  <c r="E305" i="3" s="1"/>
  <c r="O305" i="1"/>
  <c r="E306" i="3" s="1"/>
  <c r="O306" i="1"/>
  <c r="E307" i="3" s="1"/>
  <c r="O307" i="1"/>
  <c r="O308" i="1"/>
  <c r="E309" i="3" s="1"/>
  <c r="O309" i="1"/>
  <c r="O310" i="1"/>
  <c r="O311" i="1"/>
  <c r="O312" i="1"/>
  <c r="E313" i="3" s="1"/>
  <c r="O313" i="1"/>
  <c r="O314" i="1"/>
  <c r="O315" i="1"/>
  <c r="O291" i="1"/>
  <c r="E292" i="3" s="1"/>
  <c r="O292" i="1"/>
  <c r="E293" i="3" s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E378" i="3" s="1"/>
  <c r="O378" i="1"/>
  <c r="E379" i="3" s="1"/>
  <c r="O379" i="1"/>
  <c r="E380" i="3" s="1"/>
  <c r="O380" i="1"/>
  <c r="E381" i="3" s="1"/>
  <c r="O381" i="1"/>
  <c r="E382" i="3" s="1"/>
  <c r="O382" i="1"/>
  <c r="E383" i="3" s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E402" i="3" s="1"/>
  <c r="O402" i="1"/>
  <c r="E403" i="3" s="1"/>
  <c r="O403" i="1"/>
  <c r="E404" i="3" s="1"/>
  <c r="O404" i="1"/>
  <c r="E405" i="3" s="1"/>
  <c r="O405" i="1"/>
  <c r="E406" i="3" s="1"/>
  <c r="O406" i="1"/>
  <c r="E407" i="3" s="1"/>
  <c r="O407" i="1"/>
  <c r="E408" i="3" s="1"/>
  <c r="O408" i="1"/>
  <c r="E409" i="3" s="1"/>
  <c r="O409" i="1"/>
  <c r="E410" i="3" s="1"/>
  <c r="O410" i="1"/>
  <c r="E411" i="3" s="1"/>
  <c r="O411" i="1"/>
  <c r="E412" i="3" s="1"/>
  <c r="O412" i="1"/>
  <c r="E413" i="3" s="1"/>
  <c r="O413" i="1"/>
  <c r="E414" i="3" s="1"/>
  <c r="O414" i="1"/>
  <c r="E415" i="3" s="1"/>
  <c r="O415" i="1"/>
  <c r="E416" i="3" s="1"/>
  <c r="O416" i="1"/>
  <c r="E417" i="3" s="1"/>
  <c r="O417" i="1"/>
  <c r="E418" i="3" s="1"/>
  <c r="O418" i="1"/>
  <c r="E419" i="3" s="1"/>
  <c r="O419" i="1"/>
  <c r="E420" i="3" s="1"/>
  <c r="O420" i="1"/>
  <c r="E421" i="3" s="1"/>
  <c r="O421" i="1"/>
  <c r="E422" i="3" s="1"/>
  <c r="O422" i="1"/>
  <c r="E423" i="3" s="1"/>
  <c r="O423" i="1"/>
  <c r="E424" i="3" s="1"/>
  <c r="O2" i="1"/>
  <c r="K3" i="4"/>
  <c r="K3" i="3"/>
  <c r="T2" i="1"/>
  <c r="T3" i="1"/>
  <c r="J4" i="3" s="1"/>
  <c r="T4" i="1"/>
  <c r="J5" i="3" s="1"/>
  <c r="T5" i="1"/>
  <c r="J6" i="3" s="1"/>
  <c r="T6" i="1"/>
  <c r="J7" i="3" s="1"/>
  <c r="T7" i="1"/>
  <c r="J8" i="3" s="1"/>
  <c r="T8" i="1"/>
  <c r="J9" i="3" s="1"/>
  <c r="T9" i="1"/>
  <c r="J10" i="3" s="1"/>
  <c r="T10" i="1"/>
  <c r="J11" i="3" s="1"/>
  <c r="T11" i="1"/>
  <c r="J12" i="3" s="1"/>
  <c r="T12" i="1"/>
  <c r="J13" i="3" s="1"/>
  <c r="T13" i="1"/>
  <c r="J14" i="3" s="1"/>
  <c r="T14" i="1"/>
  <c r="J15" i="3" s="1"/>
  <c r="T15" i="1"/>
  <c r="J16" i="3" s="1"/>
  <c r="T16" i="1"/>
  <c r="J17" i="3" s="1"/>
  <c r="T17" i="1"/>
  <c r="J18" i="3" s="1"/>
  <c r="T18" i="1"/>
  <c r="J19" i="3" s="1"/>
  <c r="T19" i="1"/>
  <c r="J20" i="3" s="1"/>
  <c r="T20" i="1"/>
  <c r="J21" i="3" s="1"/>
  <c r="T21" i="1"/>
  <c r="J22" i="3" s="1"/>
  <c r="T22" i="1"/>
  <c r="J23" i="3" s="1"/>
  <c r="T23" i="1"/>
  <c r="J24" i="3" s="1"/>
  <c r="T24" i="1"/>
  <c r="J25" i="3" s="1"/>
  <c r="T25" i="1"/>
  <c r="J26" i="3" s="1"/>
  <c r="T26" i="1"/>
  <c r="J27" i="3" s="1"/>
  <c r="T27" i="1"/>
  <c r="J28" i="3" s="1"/>
  <c r="T28" i="1"/>
  <c r="J29" i="3" s="1"/>
  <c r="T29" i="1"/>
  <c r="J30" i="3" s="1"/>
  <c r="T30" i="1"/>
  <c r="J31" i="3" s="1"/>
  <c r="T31" i="1"/>
  <c r="J32" i="3" s="1"/>
  <c r="T32" i="1"/>
  <c r="J33" i="3" s="1"/>
  <c r="T33" i="1"/>
  <c r="J34" i="3" s="1"/>
  <c r="T34" i="1"/>
  <c r="J35" i="3" s="1"/>
  <c r="T35" i="1"/>
  <c r="J36" i="3" s="1"/>
  <c r="T36" i="1"/>
  <c r="J37" i="3" s="1"/>
  <c r="T37" i="1"/>
  <c r="J38" i="3" s="1"/>
  <c r="T38" i="1"/>
  <c r="J39" i="3" s="1"/>
  <c r="T39" i="1"/>
  <c r="J40" i="3" s="1"/>
  <c r="T40" i="1"/>
  <c r="J41" i="3" s="1"/>
  <c r="T41" i="1"/>
  <c r="J42" i="3" s="1"/>
  <c r="T42" i="1"/>
  <c r="J43" i="3" s="1"/>
  <c r="T43" i="1"/>
  <c r="J44" i="3" s="1"/>
  <c r="T44" i="1"/>
  <c r="J45" i="3" s="1"/>
  <c r="T45" i="1"/>
  <c r="J46" i="3" s="1"/>
  <c r="T46" i="1"/>
  <c r="J47" i="3" s="1"/>
  <c r="T47" i="1"/>
  <c r="J48" i="3" s="1"/>
  <c r="T48" i="1"/>
  <c r="J49" i="3" s="1"/>
  <c r="T49" i="1"/>
  <c r="J50" i="3" s="1"/>
  <c r="T50" i="1"/>
  <c r="J51" i="3" s="1"/>
  <c r="T51" i="1"/>
  <c r="J52" i="3" s="1"/>
  <c r="T52" i="1"/>
  <c r="J53" i="3" s="1"/>
  <c r="T53" i="1"/>
  <c r="J54" i="3" s="1"/>
  <c r="T54" i="1"/>
  <c r="J55" i="3" s="1"/>
  <c r="T55" i="1"/>
  <c r="J56" i="3" s="1"/>
  <c r="T56" i="1"/>
  <c r="J57" i="3" s="1"/>
  <c r="T57" i="1"/>
  <c r="J58" i="3" s="1"/>
  <c r="T58" i="1"/>
  <c r="J59" i="3" s="1"/>
  <c r="T59" i="1"/>
  <c r="J60" i="3" s="1"/>
  <c r="T60" i="1"/>
  <c r="J61" i="3" s="1"/>
  <c r="T61" i="1"/>
  <c r="J62" i="3" s="1"/>
  <c r="T62" i="1"/>
  <c r="J63" i="3" s="1"/>
  <c r="T63" i="1"/>
  <c r="J64" i="3" s="1"/>
  <c r="T64" i="1"/>
  <c r="J65" i="3" s="1"/>
  <c r="T65" i="1"/>
  <c r="J66" i="3" s="1"/>
  <c r="T66" i="1"/>
  <c r="J67" i="3" s="1"/>
  <c r="T67" i="1"/>
  <c r="J68" i="3" s="1"/>
  <c r="T68" i="1"/>
  <c r="J69" i="3" s="1"/>
  <c r="T69" i="1"/>
  <c r="J70" i="3" s="1"/>
  <c r="T70" i="1"/>
  <c r="J71" i="3" s="1"/>
  <c r="T71" i="1"/>
  <c r="J72" i="3" s="1"/>
  <c r="T72" i="1"/>
  <c r="J73" i="3" s="1"/>
  <c r="T73" i="1"/>
  <c r="J74" i="3" s="1"/>
  <c r="T74" i="1"/>
  <c r="J75" i="3" s="1"/>
  <c r="T75" i="1"/>
  <c r="J76" i="3" s="1"/>
  <c r="T76" i="1"/>
  <c r="J77" i="3" s="1"/>
  <c r="T77" i="1"/>
  <c r="J78" i="3" s="1"/>
  <c r="T78" i="1"/>
  <c r="J79" i="3" s="1"/>
  <c r="T79" i="1"/>
  <c r="J80" i="3" s="1"/>
  <c r="T80" i="1"/>
  <c r="J81" i="3" s="1"/>
  <c r="T81" i="1"/>
  <c r="J82" i="3" s="1"/>
  <c r="T82" i="1"/>
  <c r="J83" i="3" s="1"/>
  <c r="T83" i="1"/>
  <c r="J84" i="3" s="1"/>
  <c r="T84" i="1"/>
  <c r="J85" i="3" s="1"/>
  <c r="T85" i="1"/>
  <c r="J86" i="3" s="1"/>
  <c r="T86" i="1"/>
  <c r="J87" i="3" s="1"/>
  <c r="T87" i="1"/>
  <c r="J88" i="3" s="1"/>
  <c r="T88" i="1"/>
  <c r="J89" i="3" s="1"/>
  <c r="T89" i="1"/>
  <c r="J90" i="3" s="1"/>
  <c r="T90" i="1"/>
  <c r="J91" i="3" s="1"/>
  <c r="T91" i="1"/>
  <c r="J92" i="3" s="1"/>
  <c r="T92" i="1"/>
  <c r="J93" i="3" s="1"/>
  <c r="T93" i="1"/>
  <c r="J94" i="3" s="1"/>
  <c r="T94" i="1"/>
  <c r="J95" i="3" s="1"/>
  <c r="T95" i="1"/>
  <c r="J96" i="3" s="1"/>
  <c r="T96" i="1"/>
  <c r="J97" i="3" s="1"/>
  <c r="T97" i="1"/>
  <c r="J98" i="3" s="1"/>
  <c r="T98" i="1"/>
  <c r="J99" i="3" s="1"/>
  <c r="T99" i="1"/>
  <c r="J100" i="3" s="1"/>
  <c r="T100" i="1"/>
  <c r="J101" i="3" s="1"/>
  <c r="T101" i="1"/>
  <c r="J102" i="3" s="1"/>
  <c r="T102" i="1"/>
  <c r="J103" i="3" s="1"/>
  <c r="T103" i="1"/>
  <c r="J104" i="3" s="1"/>
  <c r="T104" i="1"/>
  <c r="J105" i="3" s="1"/>
  <c r="T105" i="1"/>
  <c r="J106" i="3" s="1"/>
  <c r="T106" i="1"/>
  <c r="J107" i="3" s="1"/>
  <c r="T107" i="1"/>
  <c r="J108" i="3" s="1"/>
  <c r="T108" i="1"/>
  <c r="J109" i="3" s="1"/>
  <c r="T109" i="1"/>
  <c r="J110" i="3" s="1"/>
  <c r="T110" i="1"/>
  <c r="J111" i="3" s="1"/>
  <c r="T111" i="1"/>
  <c r="J112" i="3" s="1"/>
  <c r="T112" i="1"/>
  <c r="J113" i="3" s="1"/>
  <c r="T113" i="1"/>
  <c r="J114" i="3" s="1"/>
  <c r="T115" i="1"/>
  <c r="J116" i="3" s="1"/>
  <c r="T117" i="1"/>
  <c r="J118" i="3" s="1"/>
  <c r="T119" i="1"/>
  <c r="J120" i="3" s="1"/>
  <c r="T121" i="1"/>
  <c r="J122" i="3" s="1"/>
  <c r="T122" i="1"/>
  <c r="J123" i="3" s="1"/>
  <c r="T123" i="1"/>
  <c r="J124" i="3" s="1"/>
  <c r="T124" i="1"/>
  <c r="J125" i="3" s="1"/>
  <c r="T125" i="1"/>
  <c r="J126" i="3" s="1"/>
  <c r="T126" i="1"/>
  <c r="J127" i="3" s="1"/>
  <c r="T127" i="1"/>
  <c r="J128" i="3" s="1"/>
  <c r="T128" i="1"/>
  <c r="J129" i="3" s="1"/>
  <c r="T129" i="1"/>
  <c r="J130" i="3" s="1"/>
  <c r="T130" i="1"/>
  <c r="J131" i="3" s="1"/>
  <c r="T131" i="1"/>
  <c r="J132" i="3" s="1"/>
  <c r="T132" i="1"/>
  <c r="J133" i="3" s="1"/>
  <c r="T133" i="1"/>
  <c r="J134" i="3" s="1"/>
  <c r="T134" i="1"/>
  <c r="J135" i="3" s="1"/>
  <c r="T135" i="1"/>
  <c r="J136" i="3" s="1"/>
  <c r="T136" i="1"/>
  <c r="J137" i="3" s="1"/>
  <c r="T137" i="1"/>
  <c r="J138" i="3" s="1"/>
  <c r="T138" i="1"/>
  <c r="J139" i="3" s="1"/>
  <c r="T139" i="1"/>
  <c r="J140" i="3" s="1"/>
  <c r="T140" i="1"/>
  <c r="J141" i="3" s="1"/>
  <c r="T141" i="1"/>
  <c r="J142" i="3" s="1"/>
  <c r="T142" i="1"/>
  <c r="J143" i="3" s="1"/>
  <c r="T143" i="1"/>
  <c r="J144" i="3" s="1"/>
  <c r="T144" i="1"/>
  <c r="J145" i="3" s="1"/>
  <c r="T145" i="1"/>
  <c r="J146" i="3" s="1"/>
  <c r="T146" i="1"/>
  <c r="J147" i="3" s="1"/>
  <c r="T147" i="1"/>
  <c r="J148" i="3" s="1"/>
  <c r="T148" i="1"/>
  <c r="J149" i="3" s="1"/>
  <c r="T149" i="1"/>
  <c r="J150" i="3" s="1"/>
  <c r="T150" i="1"/>
  <c r="J151" i="3" s="1"/>
  <c r="T151" i="1"/>
  <c r="J152" i="3" s="1"/>
  <c r="T152" i="1"/>
  <c r="J153" i="3" s="1"/>
  <c r="T153" i="1"/>
  <c r="J154" i="3" s="1"/>
  <c r="T154" i="1"/>
  <c r="J155" i="3" s="1"/>
  <c r="T155" i="1"/>
  <c r="J156" i="3" s="1"/>
  <c r="T156" i="1"/>
  <c r="J157" i="3" s="1"/>
  <c r="T157" i="1"/>
  <c r="J158" i="3" s="1"/>
  <c r="T158" i="1"/>
  <c r="J159" i="3" s="1"/>
  <c r="T159" i="1"/>
  <c r="J160" i="3" s="1"/>
  <c r="T160" i="1"/>
  <c r="J161" i="3" s="1"/>
  <c r="T161" i="1"/>
  <c r="J162" i="3" s="1"/>
  <c r="T162" i="1"/>
  <c r="J163" i="3" s="1"/>
  <c r="T163" i="1"/>
  <c r="J164" i="3" s="1"/>
  <c r="T164" i="1"/>
  <c r="J165" i="3" s="1"/>
  <c r="T165" i="1"/>
  <c r="J166" i="3" s="1"/>
  <c r="T166" i="1"/>
  <c r="J167" i="3" s="1"/>
  <c r="T167" i="1"/>
  <c r="J168" i="3" s="1"/>
  <c r="T168" i="1"/>
  <c r="J169" i="3" s="1"/>
  <c r="T169" i="1"/>
  <c r="J170" i="3" s="1"/>
  <c r="T170" i="1"/>
  <c r="J171" i="3" s="1"/>
  <c r="T171" i="1"/>
  <c r="J172" i="3" s="1"/>
  <c r="T172" i="1"/>
  <c r="J173" i="3" s="1"/>
  <c r="T173" i="1"/>
  <c r="J174" i="3" s="1"/>
  <c r="T174" i="1"/>
  <c r="J175" i="3" s="1"/>
  <c r="T175" i="1"/>
  <c r="J176" i="3" s="1"/>
  <c r="T176" i="1"/>
  <c r="J177" i="3" s="1"/>
  <c r="T177" i="1"/>
  <c r="J178" i="3" s="1"/>
  <c r="T178" i="1"/>
  <c r="J179" i="3" s="1"/>
  <c r="T179" i="1"/>
  <c r="J180" i="3" s="1"/>
  <c r="T180" i="1"/>
  <c r="J181" i="3" s="1"/>
  <c r="T181" i="1"/>
  <c r="J182" i="3" s="1"/>
  <c r="T182" i="1"/>
  <c r="J183" i="3" s="1"/>
  <c r="T183" i="1"/>
  <c r="J184" i="3" s="1"/>
  <c r="T184" i="1"/>
  <c r="J185" i="3" s="1"/>
  <c r="T185" i="1"/>
  <c r="J186" i="3" s="1"/>
  <c r="T186" i="1"/>
  <c r="J187" i="3" s="1"/>
  <c r="T187" i="1"/>
  <c r="J188" i="3" s="1"/>
  <c r="T188" i="1"/>
  <c r="J189" i="3" s="1"/>
  <c r="T189" i="1"/>
  <c r="J190" i="3" s="1"/>
  <c r="T190" i="1"/>
  <c r="J191" i="3" s="1"/>
  <c r="T191" i="1"/>
  <c r="J192" i="3" s="1"/>
  <c r="T192" i="1"/>
  <c r="J193" i="3" s="1"/>
  <c r="T193" i="1"/>
  <c r="J194" i="3" s="1"/>
  <c r="T194" i="1"/>
  <c r="J195" i="3" s="1"/>
  <c r="T195" i="1"/>
  <c r="J196" i="3" s="1"/>
  <c r="T196" i="1"/>
  <c r="J197" i="3" s="1"/>
  <c r="T197" i="1"/>
  <c r="J198" i="3" s="1"/>
  <c r="T198" i="1"/>
  <c r="J199" i="3" s="1"/>
  <c r="T199" i="1"/>
  <c r="J200" i="3" s="1"/>
  <c r="T200" i="1"/>
  <c r="J201" i="3" s="1"/>
  <c r="T201" i="1"/>
  <c r="J202" i="3" s="1"/>
  <c r="T202" i="1"/>
  <c r="J203" i="3" s="1"/>
  <c r="T203" i="1"/>
  <c r="J204" i="3" s="1"/>
  <c r="T204" i="1"/>
  <c r="J205" i="3" s="1"/>
  <c r="T205" i="1"/>
  <c r="J206" i="3" s="1"/>
  <c r="T206" i="1"/>
  <c r="J207" i="3" s="1"/>
  <c r="T207" i="1"/>
  <c r="J208" i="3" s="1"/>
  <c r="T208" i="1"/>
  <c r="J209" i="3" s="1"/>
  <c r="T209" i="1"/>
  <c r="J210" i="3" s="1"/>
  <c r="T210" i="1"/>
  <c r="J211" i="3" s="1"/>
  <c r="T211" i="1"/>
  <c r="J212" i="3" s="1"/>
  <c r="T212" i="1"/>
  <c r="J213" i="3" s="1"/>
  <c r="T213" i="1"/>
  <c r="J214" i="3" s="1"/>
  <c r="T214" i="1"/>
  <c r="J215" i="3" s="1"/>
  <c r="T215" i="1"/>
  <c r="J216" i="3" s="1"/>
  <c r="T216" i="1"/>
  <c r="J217" i="3" s="1"/>
  <c r="T217" i="1"/>
  <c r="J218" i="3" s="1"/>
  <c r="T218" i="1"/>
  <c r="J219" i="3" s="1"/>
  <c r="T219" i="1"/>
  <c r="J220" i="3" s="1"/>
  <c r="T220" i="1"/>
  <c r="J221" i="3" s="1"/>
  <c r="T221" i="1"/>
  <c r="J222" i="3" s="1"/>
  <c r="T222" i="1"/>
  <c r="J223" i="3" s="1"/>
  <c r="T223" i="1"/>
  <c r="J224" i="3" s="1"/>
  <c r="T224" i="1"/>
  <c r="J225" i="3" s="1"/>
  <c r="T225" i="1"/>
  <c r="J226" i="3" s="1"/>
  <c r="T226" i="1"/>
  <c r="J227" i="3" s="1"/>
  <c r="T227" i="1"/>
  <c r="J228" i="3" s="1"/>
  <c r="T228" i="1"/>
  <c r="J229" i="3" s="1"/>
  <c r="T229" i="1"/>
  <c r="J230" i="3" s="1"/>
  <c r="T230" i="1"/>
  <c r="J231" i="3" s="1"/>
  <c r="T231" i="1"/>
  <c r="J232" i="3" s="1"/>
  <c r="T232" i="1"/>
  <c r="J233" i="3" s="1"/>
  <c r="T233" i="1"/>
  <c r="J234" i="3" s="1"/>
  <c r="T234" i="1"/>
  <c r="J235" i="3" s="1"/>
  <c r="T235" i="1"/>
  <c r="J236" i="3" s="1"/>
  <c r="T236" i="1"/>
  <c r="J237" i="3" s="1"/>
  <c r="T237" i="1"/>
  <c r="J238" i="3" s="1"/>
  <c r="T238" i="1"/>
  <c r="J239" i="3" s="1"/>
  <c r="T239" i="1"/>
  <c r="J240" i="3" s="1"/>
  <c r="T240" i="1"/>
  <c r="J241" i="3" s="1"/>
  <c r="T241" i="1"/>
  <c r="J242" i="3" s="1"/>
  <c r="T242" i="1"/>
  <c r="J243" i="3" s="1"/>
  <c r="T243" i="1"/>
  <c r="J244" i="3" s="1"/>
  <c r="T244" i="1"/>
  <c r="J245" i="3" s="1"/>
  <c r="T245" i="1"/>
  <c r="J246" i="3" s="1"/>
  <c r="T246" i="1"/>
  <c r="J247" i="3" s="1"/>
  <c r="T247" i="1"/>
  <c r="J248" i="3" s="1"/>
  <c r="T248" i="1"/>
  <c r="J249" i="3" s="1"/>
  <c r="T249" i="1"/>
  <c r="J250" i="3" s="1"/>
  <c r="T250" i="1"/>
  <c r="J251" i="3" s="1"/>
  <c r="T251" i="1"/>
  <c r="J252" i="3" s="1"/>
  <c r="T252" i="1"/>
  <c r="J253" i="3" s="1"/>
  <c r="T253" i="1"/>
  <c r="J254" i="3" s="1"/>
  <c r="T254" i="1"/>
  <c r="J255" i="3" s="1"/>
  <c r="T255" i="1"/>
  <c r="J256" i="3" s="1"/>
  <c r="T256" i="1"/>
  <c r="J257" i="3" s="1"/>
  <c r="T257" i="1"/>
  <c r="J258" i="3" s="1"/>
  <c r="T258" i="1"/>
  <c r="J259" i="3" s="1"/>
  <c r="T259" i="1"/>
  <c r="J260" i="3" s="1"/>
  <c r="T260" i="1"/>
  <c r="J261" i="3" s="1"/>
  <c r="T261" i="1"/>
  <c r="J262" i="3" s="1"/>
  <c r="T262" i="1"/>
  <c r="J263" i="3" s="1"/>
  <c r="T263" i="1"/>
  <c r="J264" i="3" s="1"/>
  <c r="T264" i="1"/>
  <c r="J265" i="3" s="1"/>
  <c r="T265" i="1"/>
  <c r="J266" i="3" s="1"/>
  <c r="T266" i="1"/>
  <c r="J267" i="3" s="1"/>
  <c r="T267" i="1"/>
  <c r="J268" i="3" s="1"/>
  <c r="T268" i="1"/>
  <c r="J269" i="3" s="1"/>
  <c r="T269" i="1"/>
  <c r="J270" i="3" s="1"/>
  <c r="T270" i="1"/>
  <c r="J271" i="3" s="1"/>
  <c r="T271" i="1"/>
  <c r="J272" i="3" s="1"/>
  <c r="T272" i="1"/>
  <c r="J273" i="3" s="1"/>
  <c r="T273" i="1"/>
  <c r="J274" i="3" s="1"/>
  <c r="T274" i="1"/>
  <c r="J275" i="3" s="1"/>
  <c r="T275" i="1"/>
  <c r="J276" i="3" s="1"/>
  <c r="T276" i="1"/>
  <c r="J277" i="3" s="1"/>
  <c r="T277" i="1"/>
  <c r="J278" i="3" s="1"/>
  <c r="T278" i="1"/>
  <c r="J279" i="3" s="1"/>
  <c r="T279" i="1"/>
  <c r="J280" i="3" s="1"/>
  <c r="T280" i="1"/>
  <c r="J281" i="3" s="1"/>
  <c r="T281" i="1"/>
  <c r="J282" i="3" s="1"/>
  <c r="T282" i="1"/>
  <c r="J283" i="3" s="1"/>
  <c r="T283" i="1"/>
  <c r="J284" i="3" s="1"/>
  <c r="T284" i="1"/>
  <c r="J285" i="3" s="1"/>
  <c r="T285" i="1"/>
  <c r="J286" i="3" s="1"/>
  <c r="T286" i="1"/>
  <c r="J287" i="3" s="1"/>
  <c r="T287" i="1"/>
  <c r="J288" i="3" s="1"/>
  <c r="T288" i="1"/>
  <c r="J289" i="3" s="1"/>
  <c r="T289" i="1"/>
  <c r="J290" i="3" s="1"/>
  <c r="T290" i="1"/>
  <c r="J291" i="3" s="1"/>
  <c r="T293" i="1"/>
  <c r="J294" i="3" s="1"/>
  <c r="T294" i="1"/>
  <c r="J295" i="3" s="1"/>
  <c r="T295" i="1"/>
  <c r="J296" i="3" s="1"/>
  <c r="T296" i="1"/>
  <c r="J297" i="3" s="1"/>
  <c r="T297" i="1"/>
  <c r="J298" i="3" s="1"/>
  <c r="T298" i="1"/>
  <c r="J299" i="3" s="1"/>
  <c r="T299" i="1"/>
  <c r="J300" i="3" s="1"/>
  <c r="T300" i="1"/>
  <c r="J301" i="3" s="1"/>
  <c r="T301" i="1"/>
  <c r="J302" i="3" s="1"/>
  <c r="T302" i="1"/>
  <c r="J303" i="3" s="1"/>
  <c r="T303" i="1"/>
  <c r="J304" i="3" s="1"/>
  <c r="T304" i="1"/>
  <c r="J305" i="3" s="1"/>
  <c r="T305" i="1"/>
  <c r="J306" i="3" s="1"/>
  <c r="T306" i="1"/>
  <c r="J307" i="3" s="1"/>
  <c r="T307" i="1"/>
  <c r="T308" i="1"/>
  <c r="T309" i="1"/>
  <c r="J310" i="3" s="1"/>
  <c r="T310" i="1"/>
  <c r="T311" i="1"/>
  <c r="T312" i="1"/>
  <c r="T313" i="1"/>
  <c r="J314" i="3" s="1"/>
  <c r="T314" i="1"/>
  <c r="T315" i="1"/>
  <c r="T291" i="1"/>
  <c r="J292" i="3" s="1"/>
  <c r="T292" i="1"/>
  <c r="J293" i="3" s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J378" i="3" s="1"/>
  <c r="T378" i="1"/>
  <c r="J379" i="3" s="1"/>
  <c r="T379" i="1"/>
  <c r="J380" i="3" s="1"/>
  <c r="T380" i="1"/>
  <c r="J381" i="3" s="1"/>
  <c r="T381" i="1"/>
  <c r="J382" i="3" s="1"/>
  <c r="T382" i="1"/>
  <c r="J383" i="3" s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J402" i="3" s="1"/>
  <c r="T402" i="1"/>
  <c r="J403" i="3" s="1"/>
  <c r="T403" i="1"/>
  <c r="J404" i="3" s="1"/>
  <c r="T404" i="1"/>
  <c r="J405" i="3" s="1"/>
  <c r="T405" i="1"/>
  <c r="J406" i="3" s="1"/>
  <c r="T406" i="1"/>
  <c r="J407" i="3" s="1"/>
  <c r="T407" i="1"/>
  <c r="J408" i="3" s="1"/>
  <c r="T408" i="1"/>
  <c r="J409" i="3" s="1"/>
  <c r="T409" i="1"/>
  <c r="J410" i="3" s="1"/>
  <c r="T410" i="1"/>
  <c r="J411" i="3" s="1"/>
  <c r="T411" i="1"/>
  <c r="J412" i="3" s="1"/>
  <c r="T412" i="1"/>
  <c r="J413" i="3" s="1"/>
  <c r="T413" i="1"/>
  <c r="J414" i="3" s="1"/>
  <c r="T414" i="1"/>
  <c r="J415" i="3" s="1"/>
  <c r="T415" i="1"/>
  <c r="J416" i="3" s="1"/>
  <c r="T416" i="1"/>
  <c r="J417" i="3" s="1"/>
  <c r="T417" i="1"/>
  <c r="J418" i="3" s="1"/>
  <c r="T418" i="1"/>
  <c r="J419" i="3" s="1"/>
  <c r="T419" i="1"/>
  <c r="J420" i="3" s="1"/>
  <c r="T420" i="1"/>
  <c r="J421" i="3" s="1"/>
  <c r="T421" i="1"/>
  <c r="J422" i="3" s="1"/>
  <c r="T422" i="1"/>
  <c r="J423" i="3" s="1"/>
  <c r="T423" i="1"/>
  <c r="J424" i="3" s="1"/>
  <c r="S2" i="1"/>
  <c r="S3" i="1"/>
  <c r="I4" i="3" s="1"/>
  <c r="S4" i="1"/>
  <c r="I5" i="3" s="1"/>
  <c r="S5" i="1"/>
  <c r="I6" i="3" s="1"/>
  <c r="S6" i="1"/>
  <c r="I7" i="3" s="1"/>
  <c r="S7" i="1"/>
  <c r="I8" i="3" s="1"/>
  <c r="S8" i="1"/>
  <c r="I9" i="3" s="1"/>
  <c r="S9" i="1"/>
  <c r="I10" i="3" s="1"/>
  <c r="S10" i="1"/>
  <c r="I11" i="3" s="1"/>
  <c r="S11" i="1"/>
  <c r="I12" i="3" s="1"/>
  <c r="S12" i="1"/>
  <c r="I13" i="3" s="1"/>
  <c r="S13" i="1"/>
  <c r="I14" i="3" s="1"/>
  <c r="S14" i="1"/>
  <c r="I15" i="3" s="1"/>
  <c r="S15" i="1"/>
  <c r="I16" i="3" s="1"/>
  <c r="S16" i="1"/>
  <c r="I17" i="3" s="1"/>
  <c r="S17" i="1"/>
  <c r="I18" i="3" s="1"/>
  <c r="S18" i="1"/>
  <c r="I19" i="3" s="1"/>
  <c r="S19" i="1"/>
  <c r="I20" i="3" s="1"/>
  <c r="S20" i="1"/>
  <c r="I21" i="3" s="1"/>
  <c r="S21" i="1"/>
  <c r="I22" i="3" s="1"/>
  <c r="S22" i="1"/>
  <c r="I23" i="3" s="1"/>
  <c r="S23" i="1"/>
  <c r="I24" i="3" s="1"/>
  <c r="S24" i="1"/>
  <c r="I25" i="3" s="1"/>
  <c r="S25" i="1"/>
  <c r="I26" i="3" s="1"/>
  <c r="S26" i="1"/>
  <c r="I27" i="3" s="1"/>
  <c r="S27" i="1"/>
  <c r="I28" i="3" s="1"/>
  <c r="S28" i="1"/>
  <c r="I29" i="3" s="1"/>
  <c r="S29" i="1"/>
  <c r="I30" i="3" s="1"/>
  <c r="S30" i="1"/>
  <c r="I31" i="3" s="1"/>
  <c r="S31" i="1"/>
  <c r="I32" i="3" s="1"/>
  <c r="S32" i="1"/>
  <c r="I33" i="3" s="1"/>
  <c r="S33" i="1"/>
  <c r="I34" i="3" s="1"/>
  <c r="S34" i="1"/>
  <c r="I35" i="3" s="1"/>
  <c r="S35" i="1"/>
  <c r="I36" i="3" s="1"/>
  <c r="S36" i="1"/>
  <c r="I37" i="3" s="1"/>
  <c r="S37" i="1"/>
  <c r="I38" i="3" s="1"/>
  <c r="S38" i="1"/>
  <c r="I39" i="3" s="1"/>
  <c r="S39" i="1"/>
  <c r="I40" i="3" s="1"/>
  <c r="S40" i="1"/>
  <c r="I41" i="3" s="1"/>
  <c r="S41" i="1"/>
  <c r="I42" i="3" s="1"/>
  <c r="S42" i="1"/>
  <c r="I43" i="3" s="1"/>
  <c r="S43" i="1"/>
  <c r="I44" i="3" s="1"/>
  <c r="S44" i="1"/>
  <c r="I45" i="3" s="1"/>
  <c r="S45" i="1"/>
  <c r="I46" i="3" s="1"/>
  <c r="S46" i="1"/>
  <c r="I47" i="3" s="1"/>
  <c r="S47" i="1"/>
  <c r="I48" i="3" s="1"/>
  <c r="S48" i="1"/>
  <c r="I49" i="3" s="1"/>
  <c r="S49" i="1"/>
  <c r="I50" i="3" s="1"/>
  <c r="S50" i="1"/>
  <c r="I51" i="3" s="1"/>
  <c r="S51" i="1"/>
  <c r="I52" i="3" s="1"/>
  <c r="S52" i="1"/>
  <c r="I53" i="3" s="1"/>
  <c r="S53" i="1"/>
  <c r="I54" i="3" s="1"/>
  <c r="S54" i="1"/>
  <c r="I55" i="3" s="1"/>
  <c r="S55" i="1"/>
  <c r="I56" i="3" s="1"/>
  <c r="S56" i="1"/>
  <c r="I57" i="3" s="1"/>
  <c r="S57" i="1"/>
  <c r="I58" i="3" s="1"/>
  <c r="S58" i="1"/>
  <c r="I59" i="3" s="1"/>
  <c r="S59" i="1"/>
  <c r="I60" i="3" s="1"/>
  <c r="S60" i="1"/>
  <c r="I61" i="3" s="1"/>
  <c r="S61" i="1"/>
  <c r="I62" i="3" s="1"/>
  <c r="S62" i="1"/>
  <c r="I63" i="3" s="1"/>
  <c r="S63" i="1"/>
  <c r="I64" i="3" s="1"/>
  <c r="S64" i="1"/>
  <c r="I65" i="3" s="1"/>
  <c r="S65" i="1"/>
  <c r="I66" i="3" s="1"/>
  <c r="S66" i="1"/>
  <c r="I67" i="3" s="1"/>
  <c r="S67" i="1"/>
  <c r="I68" i="3" s="1"/>
  <c r="S68" i="1"/>
  <c r="I69" i="3" s="1"/>
  <c r="S69" i="1"/>
  <c r="I70" i="3" s="1"/>
  <c r="S70" i="1"/>
  <c r="I71" i="3" s="1"/>
  <c r="S71" i="1"/>
  <c r="I72" i="3" s="1"/>
  <c r="S72" i="1"/>
  <c r="I73" i="3" s="1"/>
  <c r="S73" i="1"/>
  <c r="I74" i="3" s="1"/>
  <c r="S74" i="1"/>
  <c r="I75" i="3" s="1"/>
  <c r="S75" i="1"/>
  <c r="I76" i="3" s="1"/>
  <c r="S76" i="1"/>
  <c r="I77" i="3" s="1"/>
  <c r="S77" i="1"/>
  <c r="I78" i="3" s="1"/>
  <c r="S78" i="1"/>
  <c r="I79" i="3" s="1"/>
  <c r="S79" i="1"/>
  <c r="I80" i="3" s="1"/>
  <c r="S80" i="1"/>
  <c r="I81" i="3" s="1"/>
  <c r="S81" i="1"/>
  <c r="I82" i="3" s="1"/>
  <c r="S82" i="1"/>
  <c r="I83" i="3" s="1"/>
  <c r="S83" i="1"/>
  <c r="I84" i="3" s="1"/>
  <c r="S84" i="1"/>
  <c r="I85" i="3" s="1"/>
  <c r="S85" i="1"/>
  <c r="I86" i="3" s="1"/>
  <c r="S86" i="1"/>
  <c r="I87" i="3" s="1"/>
  <c r="S87" i="1"/>
  <c r="I88" i="3" s="1"/>
  <c r="S88" i="1"/>
  <c r="I89" i="3" s="1"/>
  <c r="S89" i="1"/>
  <c r="I90" i="3" s="1"/>
  <c r="S90" i="1"/>
  <c r="I91" i="3" s="1"/>
  <c r="S91" i="1"/>
  <c r="I92" i="3" s="1"/>
  <c r="S92" i="1"/>
  <c r="I93" i="3" s="1"/>
  <c r="S93" i="1"/>
  <c r="I94" i="3" s="1"/>
  <c r="S94" i="1"/>
  <c r="I95" i="3" s="1"/>
  <c r="S95" i="1"/>
  <c r="I96" i="3" s="1"/>
  <c r="S96" i="1"/>
  <c r="I97" i="3" s="1"/>
  <c r="S97" i="1"/>
  <c r="I98" i="3" s="1"/>
  <c r="S98" i="1"/>
  <c r="I99" i="3" s="1"/>
  <c r="S99" i="1"/>
  <c r="I100" i="3" s="1"/>
  <c r="S100" i="1"/>
  <c r="I101" i="3" s="1"/>
  <c r="S101" i="1"/>
  <c r="I102" i="3" s="1"/>
  <c r="S102" i="1"/>
  <c r="I103" i="3" s="1"/>
  <c r="S103" i="1"/>
  <c r="I104" i="3" s="1"/>
  <c r="S104" i="1"/>
  <c r="I105" i="3" s="1"/>
  <c r="S105" i="1"/>
  <c r="I106" i="3" s="1"/>
  <c r="S106" i="1"/>
  <c r="I107" i="3" s="1"/>
  <c r="S107" i="1"/>
  <c r="I108" i="3" s="1"/>
  <c r="S108" i="1"/>
  <c r="I109" i="3" s="1"/>
  <c r="S109" i="1"/>
  <c r="I110" i="3" s="1"/>
  <c r="S110" i="1"/>
  <c r="I111" i="3" s="1"/>
  <c r="S111" i="1"/>
  <c r="I112" i="3" s="1"/>
  <c r="S112" i="1"/>
  <c r="I113" i="3" s="1"/>
  <c r="S113" i="1"/>
  <c r="I114" i="3" s="1"/>
  <c r="S115" i="1"/>
  <c r="I116" i="3" s="1"/>
  <c r="S117" i="1"/>
  <c r="I118" i="3" s="1"/>
  <c r="S119" i="1"/>
  <c r="I120" i="3" s="1"/>
  <c r="S121" i="1"/>
  <c r="I122" i="3" s="1"/>
  <c r="S122" i="1"/>
  <c r="I123" i="3" s="1"/>
  <c r="S123" i="1"/>
  <c r="I124" i="3" s="1"/>
  <c r="S124" i="1"/>
  <c r="I125" i="3" s="1"/>
  <c r="S125" i="1"/>
  <c r="I126" i="3" s="1"/>
  <c r="S126" i="1"/>
  <c r="I127" i="3" s="1"/>
  <c r="S127" i="1"/>
  <c r="I128" i="3" s="1"/>
  <c r="S128" i="1"/>
  <c r="I129" i="3" s="1"/>
  <c r="S129" i="1"/>
  <c r="I130" i="3" s="1"/>
  <c r="S130" i="1"/>
  <c r="I131" i="3" s="1"/>
  <c r="S131" i="1"/>
  <c r="I132" i="3" s="1"/>
  <c r="S132" i="1"/>
  <c r="I133" i="3" s="1"/>
  <c r="S133" i="1"/>
  <c r="I134" i="3" s="1"/>
  <c r="S134" i="1"/>
  <c r="I135" i="3" s="1"/>
  <c r="S135" i="1"/>
  <c r="I136" i="3" s="1"/>
  <c r="S136" i="1"/>
  <c r="I137" i="3" s="1"/>
  <c r="S137" i="1"/>
  <c r="I138" i="3" s="1"/>
  <c r="S138" i="1"/>
  <c r="I139" i="3" s="1"/>
  <c r="S139" i="1"/>
  <c r="I140" i="3" s="1"/>
  <c r="S140" i="1"/>
  <c r="I141" i="3" s="1"/>
  <c r="S141" i="1"/>
  <c r="I142" i="3" s="1"/>
  <c r="S142" i="1"/>
  <c r="I143" i="3" s="1"/>
  <c r="S143" i="1"/>
  <c r="I144" i="3" s="1"/>
  <c r="S144" i="1"/>
  <c r="I145" i="3" s="1"/>
  <c r="S145" i="1"/>
  <c r="I146" i="3" s="1"/>
  <c r="S146" i="1"/>
  <c r="I147" i="3" s="1"/>
  <c r="S147" i="1"/>
  <c r="I148" i="3" s="1"/>
  <c r="S148" i="1"/>
  <c r="I149" i="3" s="1"/>
  <c r="S149" i="1"/>
  <c r="I150" i="3" s="1"/>
  <c r="S150" i="1"/>
  <c r="I151" i="3" s="1"/>
  <c r="S151" i="1"/>
  <c r="I152" i="3" s="1"/>
  <c r="S152" i="1"/>
  <c r="I153" i="3" s="1"/>
  <c r="S153" i="1"/>
  <c r="I154" i="3" s="1"/>
  <c r="S154" i="1"/>
  <c r="I155" i="3" s="1"/>
  <c r="S155" i="1"/>
  <c r="I156" i="3" s="1"/>
  <c r="S156" i="1"/>
  <c r="I157" i="3" s="1"/>
  <c r="S157" i="1"/>
  <c r="I158" i="3" s="1"/>
  <c r="S158" i="1"/>
  <c r="I159" i="3" s="1"/>
  <c r="S159" i="1"/>
  <c r="I160" i="3" s="1"/>
  <c r="S160" i="1"/>
  <c r="I161" i="3" s="1"/>
  <c r="S161" i="1"/>
  <c r="I162" i="3" s="1"/>
  <c r="S162" i="1"/>
  <c r="I163" i="3" s="1"/>
  <c r="S163" i="1"/>
  <c r="I164" i="3" s="1"/>
  <c r="S164" i="1"/>
  <c r="I165" i="3" s="1"/>
  <c r="S165" i="1"/>
  <c r="I166" i="3" s="1"/>
  <c r="S166" i="1"/>
  <c r="I167" i="3" s="1"/>
  <c r="S167" i="1"/>
  <c r="I168" i="3" s="1"/>
  <c r="S168" i="1"/>
  <c r="I169" i="3" s="1"/>
  <c r="S169" i="1"/>
  <c r="I170" i="3" s="1"/>
  <c r="S170" i="1"/>
  <c r="I171" i="3" s="1"/>
  <c r="S171" i="1"/>
  <c r="I172" i="3" s="1"/>
  <c r="S172" i="1"/>
  <c r="I173" i="3" s="1"/>
  <c r="S173" i="1"/>
  <c r="I174" i="3" s="1"/>
  <c r="S174" i="1"/>
  <c r="I175" i="3" s="1"/>
  <c r="S175" i="1"/>
  <c r="I176" i="3" s="1"/>
  <c r="S176" i="1"/>
  <c r="I177" i="3" s="1"/>
  <c r="S177" i="1"/>
  <c r="I178" i="3" s="1"/>
  <c r="S178" i="1"/>
  <c r="I179" i="3" s="1"/>
  <c r="S179" i="1"/>
  <c r="I180" i="3" s="1"/>
  <c r="S180" i="1"/>
  <c r="I181" i="3" s="1"/>
  <c r="S181" i="1"/>
  <c r="I182" i="3" s="1"/>
  <c r="S182" i="1"/>
  <c r="I183" i="3" s="1"/>
  <c r="S183" i="1"/>
  <c r="I184" i="3" s="1"/>
  <c r="S184" i="1"/>
  <c r="I185" i="3" s="1"/>
  <c r="S185" i="1"/>
  <c r="I186" i="3" s="1"/>
  <c r="S186" i="1"/>
  <c r="I187" i="3" s="1"/>
  <c r="S187" i="1"/>
  <c r="I188" i="3" s="1"/>
  <c r="S188" i="1"/>
  <c r="I189" i="3" s="1"/>
  <c r="S189" i="1"/>
  <c r="I190" i="3" s="1"/>
  <c r="S190" i="1"/>
  <c r="I191" i="3" s="1"/>
  <c r="S191" i="1"/>
  <c r="I192" i="3" s="1"/>
  <c r="S192" i="1"/>
  <c r="I193" i="3" s="1"/>
  <c r="S193" i="1"/>
  <c r="I194" i="3" s="1"/>
  <c r="S194" i="1"/>
  <c r="I195" i="3" s="1"/>
  <c r="S195" i="1"/>
  <c r="I196" i="3" s="1"/>
  <c r="S196" i="1"/>
  <c r="I197" i="3" s="1"/>
  <c r="S197" i="1"/>
  <c r="I198" i="3" s="1"/>
  <c r="S198" i="1"/>
  <c r="I199" i="3" s="1"/>
  <c r="S199" i="1"/>
  <c r="I200" i="3" s="1"/>
  <c r="S200" i="1"/>
  <c r="I201" i="3" s="1"/>
  <c r="S201" i="1"/>
  <c r="I202" i="3" s="1"/>
  <c r="S202" i="1"/>
  <c r="I203" i="3" s="1"/>
  <c r="S203" i="1"/>
  <c r="I204" i="3" s="1"/>
  <c r="S204" i="1"/>
  <c r="I205" i="3" s="1"/>
  <c r="S205" i="1"/>
  <c r="I206" i="3" s="1"/>
  <c r="S206" i="1"/>
  <c r="I207" i="3" s="1"/>
  <c r="S207" i="1"/>
  <c r="I208" i="3" s="1"/>
  <c r="S208" i="1"/>
  <c r="I209" i="3" s="1"/>
  <c r="S209" i="1"/>
  <c r="I210" i="3" s="1"/>
  <c r="S210" i="1"/>
  <c r="I211" i="3" s="1"/>
  <c r="S211" i="1"/>
  <c r="I212" i="3" s="1"/>
  <c r="S212" i="1"/>
  <c r="I213" i="3" s="1"/>
  <c r="S213" i="1"/>
  <c r="I214" i="3" s="1"/>
  <c r="S214" i="1"/>
  <c r="I215" i="3" s="1"/>
  <c r="S215" i="1"/>
  <c r="I216" i="3" s="1"/>
  <c r="S216" i="1"/>
  <c r="I217" i="3" s="1"/>
  <c r="S217" i="1"/>
  <c r="I218" i="3" s="1"/>
  <c r="S218" i="1"/>
  <c r="I219" i="3" s="1"/>
  <c r="S219" i="1"/>
  <c r="I220" i="3" s="1"/>
  <c r="S220" i="1"/>
  <c r="I221" i="3" s="1"/>
  <c r="S221" i="1"/>
  <c r="I222" i="3" s="1"/>
  <c r="S222" i="1"/>
  <c r="I223" i="3" s="1"/>
  <c r="S223" i="1"/>
  <c r="I224" i="3" s="1"/>
  <c r="S224" i="1"/>
  <c r="I225" i="3" s="1"/>
  <c r="S225" i="1"/>
  <c r="I226" i="3" s="1"/>
  <c r="S226" i="1"/>
  <c r="I227" i="3" s="1"/>
  <c r="S227" i="1"/>
  <c r="I228" i="3" s="1"/>
  <c r="S228" i="1"/>
  <c r="I229" i="3" s="1"/>
  <c r="S229" i="1"/>
  <c r="I230" i="3" s="1"/>
  <c r="S230" i="1"/>
  <c r="I231" i="3" s="1"/>
  <c r="S231" i="1"/>
  <c r="I232" i="3" s="1"/>
  <c r="S232" i="1"/>
  <c r="I233" i="3" s="1"/>
  <c r="S233" i="1"/>
  <c r="I234" i="3" s="1"/>
  <c r="S234" i="1"/>
  <c r="I235" i="3" s="1"/>
  <c r="S235" i="1"/>
  <c r="I236" i="3" s="1"/>
  <c r="S236" i="1"/>
  <c r="I237" i="3" s="1"/>
  <c r="S237" i="1"/>
  <c r="I238" i="3" s="1"/>
  <c r="S238" i="1"/>
  <c r="I239" i="3" s="1"/>
  <c r="S239" i="1"/>
  <c r="I240" i="3" s="1"/>
  <c r="S240" i="1"/>
  <c r="I241" i="3" s="1"/>
  <c r="S241" i="1"/>
  <c r="I242" i="3" s="1"/>
  <c r="S242" i="1"/>
  <c r="I243" i="3" s="1"/>
  <c r="S243" i="1"/>
  <c r="I244" i="3" s="1"/>
  <c r="S244" i="1"/>
  <c r="I245" i="3" s="1"/>
  <c r="S245" i="1"/>
  <c r="I246" i="3" s="1"/>
  <c r="S246" i="1"/>
  <c r="I247" i="3" s="1"/>
  <c r="S247" i="1"/>
  <c r="I248" i="3" s="1"/>
  <c r="S248" i="1"/>
  <c r="I249" i="3" s="1"/>
  <c r="S249" i="1"/>
  <c r="I250" i="3" s="1"/>
  <c r="S250" i="1"/>
  <c r="I251" i="3" s="1"/>
  <c r="S251" i="1"/>
  <c r="I252" i="3" s="1"/>
  <c r="S252" i="1"/>
  <c r="I253" i="3" s="1"/>
  <c r="S253" i="1"/>
  <c r="I254" i="3" s="1"/>
  <c r="S254" i="1"/>
  <c r="I255" i="3" s="1"/>
  <c r="S255" i="1"/>
  <c r="I256" i="3" s="1"/>
  <c r="S256" i="1"/>
  <c r="I257" i="3" s="1"/>
  <c r="S257" i="1"/>
  <c r="I258" i="3" s="1"/>
  <c r="S258" i="1"/>
  <c r="I259" i="3" s="1"/>
  <c r="S259" i="1"/>
  <c r="I260" i="3" s="1"/>
  <c r="S260" i="1"/>
  <c r="I261" i="3" s="1"/>
  <c r="S261" i="1"/>
  <c r="I262" i="3" s="1"/>
  <c r="S262" i="1"/>
  <c r="I263" i="3" s="1"/>
  <c r="S263" i="1"/>
  <c r="I264" i="3" s="1"/>
  <c r="S264" i="1"/>
  <c r="I265" i="3" s="1"/>
  <c r="S265" i="1"/>
  <c r="I266" i="3" s="1"/>
  <c r="S266" i="1"/>
  <c r="I267" i="3" s="1"/>
  <c r="S267" i="1"/>
  <c r="I268" i="3" s="1"/>
  <c r="S268" i="1"/>
  <c r="I269" i="3" s="1"/>
  <c r="S269" i="1"/>
  <c r="I270" i="3" s="1"/>
  <c r="S270" i="1"/>
  <c r="I271" i="3" s="1"/>
  <c r="S271" i="1"/>
  <c r="I272" i="3" s="1"/>
  <c r="S272" i="1"/>
  <c r="I273" i="3" s="1"/>
  <c r="S273" i="1"/>
  <c r="I274" i="3" s="1"/>
  <c r="S274" i="1"/>
  <c r="I275" i="3" s="1"/>
  <c r="S275" i="1"/>
  <c r="I276" i="3" s="1"/>
  <c r="S276" i="1"/>
  <c r="I277" i="3" s="1"/>
  <c r="S277" i="1"/>
  <c r="I278" i="3" s="1"/>
  <c r="S278" i="1"/>
  <c r="I279" i="3" s="1"/>
  <c r="S279" i="1"/>
  <c r="I280" i="3" s="1"/>
  <c r="S280" i="1"/>
  <c r="I281" i="3" s="1"/>
  <c r="S281" i="1"/>
  <c r="I282" i="3" s="1"/>
  <c r="S282" i="1"/>
  <c r="I283" i="3" s="1"/>
  <c r="S283" i="1"/>
  <c r="I284" i="3" s="1"/>
  <c r="S284" i="1"/>
  <c r="I285" i="3" s="1"/>
  <c r="S285" i="1"/>
  <c r="I286" i="3" s="1"/>
  <c r="S286" i="1"/>
  <c r="I287" i="3" s="1"/>
  <c r="S287" i="1"/>
  <c r="I288" i="3" s="1"/>
  <c r="S288" i="1"/>
  <c r="I289" i="3" s="1"/>
  <c r="S289" i="1"/>
  <c r="I290" i="3" s="1"/>
  <c r="S290" i="1"/>
  <c r="I291" i="3" s="1"/>
  <c r="S293" i="1"/>
  <c r="I294" i="3" s="1"/>
  <c r="S294" i="1"/>
  <c r="I295" i="3" s="1"/>
  <c r="S295" i="1"/>
  <c r="I296" i="3" s="1"/>
  <c r="S296" i="1"/>
  <c r="I297" i="3" s="1"/>
  <c r="S297" i="1"/>
  <c r="I298" i="3" s="1"/>
  <c r="S298" i="1"/>
  <c r="I299" i="3" s="1"/>
  <c r="S299" i="1"/>
  <c r="I300" i="3" s="1"/>
  <c r="S300" i="1"/>
  <c r="I301" i="3" s="1"/>
  <c r="S301" i="1"/>
  <c r="I302" i="3" s="1"/>
  <c r="S302" i="1"/>
  <c r="I303" i="3" s="1"/>
  <c r="S303" i="1"/>
  <c r="I304" i="3" s="1"/>
  <c r="S304" i="1"/>
  <c r="I305" i="3" s="1"/>
  <c r="S305" i="1"/>
  <c r="I306" i="3" s="1"/>
  <c r="S306" i="1"/>
  <c r="I307" i="3" s="1"/>
  <c r="S307" i="1"/>
  <c r="S308" i="1"/>
  <c r="S309" i="1"/>
  <c r="I310" i="3" s="1"/>
  <c r="S310" i="1"/>
  <c r="S311" i="1"/>
  <c r="S312" i="1"/>
  <c r="S313" i="1"/>
  <c r="I314" i="3" s="1"/>
  <c r="S314" i="1"/>
  <c r="S315" i="1"/>
  <c r="S291" i="1"/>
  <c r="I292" i="3" s="1"/>
  <c r="S292" i="1"/>
  <c r="I293" i="3" s="1"/>
  <c r="S316" i="1"/>
  <c r="S317" i="1"/>
  <c r="S318" i="1"/>
  <c r="S319" i="1"/>
  <c r="I320" i="3" s="1"/>
  <c r="S320" i="1"/>
  <c r="S321" i="1"/>
  <c r="S322" i="1"/>
  <c r="S323" i="1"/>
  <c r="I324" i="3" s="1"/>
  <c r="S324" i="1"/>
  <c r="S325" i="1"/>
  <c r="S326" i="1"/>
  <c r="S327" i="1"/>
  <c r="I328" i="3" s="1"/>
  <c r="S328" i="1"/>
  <c r="S329" i="1"/>
  <c r="S330" i="1"/>
  <c r="S331" i="1"/>
  <c r="I332" i="3" s="1"/>
  <c r="S332" i="1"/>
  <c r="S333" i="1"/>
  <c r="S334" i="1"/>
  <c r="S335" i="1"/>
  <c r="I336" i="3" s="1"/>
  <c r="S354" i="1"/>
  <c r="S355" i="1"/>
  <c r="S356" i="1"/>
  <c r="S357" i="1"/>
  <c r="I358" i="3" s="1"/>
  <c r="S358" i="1"/>
  <c r="S359" i="1"/>
  <c r="S360" i="1"/>
  <c r="S361" i="1"/>
  <c r="I362" i="3" s="1"/>
  <c r="S362" i="1"/>
  <c r="S363" i="1"/>
  <c r="S364" i="1"/>
  <c r="S365" i="1"/>
  <c r="I366" i="3" s="1"/>
  <c r="S366" i="1"/>
  <c r="S367" i="1"/>
  <c r="S368" i="1"/>
  <c r="S369" i="1"/>
  <c r="I370" i="3" s="1"/>
  <c r="S370" i="1"/>
  <c r="S371" i="1"/>
  <c r="S372" i="1"/>
  <c r="S373" i="1"/>
  <c r="I374" i="3" s="1"/>
  <c r="S374" i="1"/>
  <c r="S375" i="1"/>
  <c r="S376" i="1"/>
  <c r="S377" i="1"/>
  <c r="I378" i="3" s="1"/>
  <c r="S378" i="1"/>
  <c r="I379" i="3" s="1"/>
  <c r="S379" i="1"/>
  <c r="S380" i="1"/>
  <c r="S381" i="1"/>
  <c r="I382" i="3" s="1"/>
  <c r="S382" i="1"/>
  <c r="I383" i="3" s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I402" i="3" s="1"/>
  <c r="S402" i="1"/>
  <c r="I403" i="3" s="1"/>
  <c r="S403" i="1"/>
  <c r="I404" i="3" s="1"/>
  <c r="S404" i="1"/>
  <c r="I405" i="3" s="1"/>
  <c r="S405" i="1"/>
  <c r="I406" i="3" s="1"/>
  <c r="S406" i="1"/>
  <c r="S407" i="1"/>
  <c r="I408" i="3" s="1"/>
  <c r="S408" i="1"/>
  <c r="I409" i="3" s="1"/>
  <c r="S409" i="1"/>
  <c r="I410" i="3" s="1"/>
  <c r="S410" i="1"/>
  <c r="I411" i="3" s="1"/>
  <c r="S411" i="1"/>
  <c r="I412" i="3" s="1"/>
  <c r="S412" i="1"/>
  <c r="I413" i="3" s="1"/>
  <c r="S413" i="1"/>
  <c r="I414" i="3" s="1"/>
  <c r="S414" i="1"/>
  <c r="I415" i="3" s="1"/>
  <c r="S415" i="1"/>
  <c r="I416" i="3" s="1"/>
  <c r="S416" i="1"/>
  <c r="I417" i="3" s="1"/>
  <c r="S417" i="1"/>
  <c r="I418" i="3" s="1"/>
  <c r="S418" i="1"/>
  <c r="I419" i="3" s="1"/>
  <c r="S419" i="1"/>
  <c r="I420" i="3" s="1"/>
  <c r="S420" i="1"/>
  <c r="I421" i="3" s="1"/>
  <c r="S421" i="1"/>
  <c r="I422" i="3" s="1"/>
  <c r="S422" i="1"/>
  <c r="I423" i="3" s="1"/>
  <c r="S423" i="1"/>
  <c r="I424" i="3" s="1"/>
  <c r="D3" i="3"/>
  <c r="D427" i="3" s="1"/>
  <c r="C3" i="3"/>
  <c r="L3" i="3" s="1"/>
  <c r="F376" i="3" l="1"/>
  <c r="F372" i="3"/>
  <c r="F368" i="3"/>
  <c r="F364" i="3"/>
  <c r="F360" i="3"/>
  <c r="F356" i="3"/>
  <c r="H368" i="3"/>
  <c r="H364" i="3"/>
  <c r="H360" i="3"/>
  <c r="H356" i="3"/>
  <c r="I334" i="3"/>
  <c r="I330" i="3"/>
  <c r="J333" i="3"/>
  <c r="J329" i="3"/>
  <c r="J325" i="3"/>
  <c r="J321" i="3"/>
  <c r="J317" i="3"/>
  <c r="E336" i="3"/>
  <c r="E332" i="3"/>
  <c r="E328" i="3"/>
  <c r="E324" i="3"/>
  <c r="E320" i="3"/>
  <c r="I394" i="3"/>
  <c r="I347" i="3"/>
  <c r="I401" i="3"/>
  <c r="I354" i="3"/>
  <c r="I397" i="3"/>
  <c r="I350" i="3"/>
  <c r="I393" i="3"/>
  <c r="I346" i="3"/>
  <c r="I389" i="3"/>
  <c r="I342" i="3"/>
  <c r="I385" i="3"/>
  <c r="I338" i="3"/>
  <c r="I381" i="3"/>
  <c r="I377" i="3"/>
  <c r="I373" i="3"/>
  <c r="I369" i="3"/>
  <c r="I365" i="3"/>
  <c r="I398" i="3"/>
  <c r="I351" i="3"/>
  <c r="I386" i="3"/>
  <c r="I339" i="3"/>
  <c r="I400" i="3"/>
  <c r="I353" i="3"/>
  <c r="I396" i="3"/>
  <c r="I349" i="3"/>
  <c r="I392" i="3"/>
  <c r="I345" i="3"/>
  <c r="I388" i="3"/>
  <c r="I341" i="3"/>
  <c r="I384" i="3"/>
  <c r="I337" i="3"/>
  <c r="I380" i="3"/>
  <c r="I376" i="3"/>
  <c r="I372" i="3"/>
  <c r="I368" i="3"/>
  <c r="I364" i="3"/>
  <c r="I360" i="3"/>
  <c r="I356" i="3"/>
  <c r="I326" i="3"/>
  <c r="I322" i="3"/>
  <c r="I318" i="3"/>
  <c r="I316" i="3"/>
  <c r="I390" i="3"/>
  <c r="I343" i="3"/>
  <c r="I407" i="3"/>
  <c r="I399" i="3"/>
  <c r="I352" i="3"/>
  <c r="I395" i="3"/>
  <c r="I348" i="3"/>
  <c r="I391" i="3"/>
  <c r="I344" i="3"/>
  <c r="I387" i="3"/>
  <c r="I340" i="3"/>
  <c r="I375" i="3"/>
  <c r="I371" i="3"/>
  <c r="I367" i="3"/>
  <c r="I363" i="3"/>
  <c r="I359" i="3"/>
  <c r="I355" i="3"/>
  <c r="I333" i="3"/>
  <c r="I329" i="3"/>
  <c r="I325" i="3"/>
  <c r="I321" i="3"/>
  <c r="I317" i="3"/>
  <c r="I315" i="3"/>
  <c r="I311" i="3"/>
  <c r="J398" i="3"/>
  <c r="J351" i="3"/>
  <c r="J394" i="3"/>
  <c r="J347" i="3"/>
  <c r="J390" i="3"/>
  <c r="J343" i="3"/>
  <c r="J386" i="3"/>
  <c r="J339" i="3"/>
  <c r="J374" i="3"/>
  <c r="J370" i="3"/>
  <c r="J366" i="3"/>
  <c r="J362" i="3"/>
  <c r="J358" i="3"/>
  <c r="J336" i="3"/>
  <c r="J332" i="3"/>
  <c r="J328" i="3"/>
  <c r="J324" i="3"/>
  <c r="J320" i="3"/>
  <c r="E401" i="3"/>
  <c r="E354" i="3"/>
  <c r="E397" i="3"/>
  <c r="E350" i="3"/>
  <c r="E393" i="3"/>
  <c r="E346" i="3"/>
  <c r="E389" i="3"/>
  <c r="E342" i="3"/>
  <c r="E385" i="3"/>
  <c r="E338" i="3"/>
  <c r="E377" i="3"/>
  <c r="E373" i="3"/>
  <c r="E369" i="3"/>
  <c r="E365" i="3"/>
  <c r="E361" i="3"/>
  <c r="E357" i="3"/>
  <c r="E335" i="3"/>
  <c r="E331" i="3"/>
  <c r="E327" i="3"/>
  <c r="E323" i="3"/>
  <c r="E319" i="3"/>
  <c r="F400" i="3"/>
  <c r="F353" i="3"/>
  <c r="F396" i="3"/>
  <c r="F349" i="3"/>
  <c r="F392" i="3"/>
  <c r="F345" i="3"/>
  <c r="F388" i="3"/>
  <c r="F341" i="3"/>
  <c r="F384" i="3"/>
  <c r="F337" i="3"/>
  <c r="F334" i="3"/>
  <c r="F330" i="3"/>
  <c r="F326" i="3"/>
  <c r="F322" i="3"/>
  <c r="F318" i="3"/>
  <c r="G400" i="3"/>
  <c r="G353" i="3"/>
  <c r="G396" i="3"/>
  <c r="G349" i="3"/>
  <c r="G392" i="3"/>
  <c r="G345" i="3"/>
  <c r="G388" i="3"/>
  <c r="G341" i="3"/>
  <c r="G384" i="3"/>
  <c r="G337" i="3"/>
  <c r="H400" i="3"/>
  <c r="H353" i="3"/>
  <c r="H396" i="3"/>
  <c r="H349" i="3"/>
  <c r="H392" i="3"/>
  <c r="H345" i="3"/>
  <c r="H388" i="3"/>
  <c r="H341" i="3"/>
  <c r="H384" i="3"/>
  <c r="H337" i="3"/>
  <c r="I361" i="3"/>
  <c r="I357" i="3"/>
  <c r="I335" i="3"/>
  <c r="I331" i="3"/>
  <c r="I327" i="3"/>
  <c r="I323" i="3"/>
  <c r="I319" i="3"/>
  <c r="I313" i="3"/>
  <c r="I309" i="3"/>
  <c r="J401" i="3"/>
  <c r="J354" i="3"/>
  <c r="J397" i="3"/>
  <c r="J350" i="3"/>
  <c r="J393" i="3"/>
  <c r="J346" i="3"/>
  <c r="J389" i="3"/>
  <c r="J342" i="3"/>
  <c r="J385" i="3"/>
  <c r="J338" i="3"/>
  <c r="J377" i="3"/>
  <c r="J373" i="3"/>
  <c r="J369" i="3"/>
  <c r="J365" i="3"/>
  <c r="J361" i="3"/>
  <c r="J357" i="3"/>
  <c r="J335" i="3"/>
  <c r="J331" i="3"/>
  <c r="J327" i="3"/>
  <c r="J323" i="3"/>
  <c r="J319" i="3"/>
  <c r="J313" i="3"/>
  <c r="J309" i="3"/>
  <c r="E400" i="3"/>
  <c r="E353" i="3"/>
  <c r="E396" i="3"/>
  <c r="E349" i="3"/>
  <c r="E392" i="3"/>
  <c r="E345" i="3"/>
  <c r="E388" i="3"/>
  <c r="E341" i="3"/>
  <c r="E384" i="3"/>
  <c r="E337" i="3"/>
  <c r="E376" i="3"/>
  <c r="E372" i="3"/>
  <c r="E368" i="3"/>
  <c r="E364" i="3"/>
  <c r="E360" i="3"/>
  <c r="E356" i="3"/>
  <c r="E334" i="3"/>
  <c r="E330" i="3"/>
  <c r="E326" i="3"/>
  <c r="E322" i="3"/>
  <c r="E318" i="3"/>
  <c r="E316" i="3"/>
  <c r="E312" i="3"/>
  <c r="E308" i="3"/>
  <c r="F399" i="3"/>
  <c r="F352" i="3"/>
  <c r="F395" i="3"/>
  <c r="F348" i="3"/>
  <c r="F391" i="3"/>
  <c r="F344" i="3"/>
  <c r="F387" i="3"/>
  <c r="F340" i="3"/>
  <c r="F375" i="3"/>
  <c r="F371" i="3"/>
  <c r="F367" i="3"/>
  <c r="F363" i="3"/>
  <c r="F359" i="3"/>
  <c r="F355" i="3"/>
  <c r="F333" i="3"/>
  <c r="F329" i="3"/>
  <c r="F325" i="3"/>
  <c r="F321" i="3"/>
  <c r="F317" i="3"/>
  <c r="F315" i="3"/>
  <c r="F311" i="3"/>
  <c r="G403" i="3"/>
  <c r="G399" i="3"/>
  <c r="G352" i="3"/>
  <c r="G395" i="3"/>
  <c r="G348" i="3"/>
  <c r="G391" i="3"/>
  <c r="G344" i="3"/>
  <c r="G387" i="3"/>
  <c r="G340" i="3"/>
  <c r="G383" i="3"/>
  <c r="G375" i="3"/>
  <c r="G371" i="3"/>
  <c r="G367" i="3"/>
  <c r="G363" i="3"/>
  <c r="G359" i="3"/>
  <c r="G355" i="3"/>
  <c r="G333" i="3"/>
  <c r="G329" i="3"/>
  <c r="G325" i="3"/>
  <c r="G321" i="3"/>
  <c r="G317" i="3"/>
  <c r="G315" i="3"/>
  <c r="G311" i="3"/>
  <c r="H403" i="3"/>
  <c r="H399" i="3"/>
  <c r="H352" i="3"/>
  <c r="H395" i="3"/>
  <c r="H348" i="3"/>
  <c r="H391" i="3"/>
  <c r="H344" i="3"/>
  <c r="H387" i="3"/>
  <c r="H340" i="3"/>
  <c r="H375" i="3"/>
  <c r="H371" i="3"/>
  <c r="H367" i="3"/>
  <c r="H363" i="3"/>
  <c r="H359" i="3"/>
  <c r="H355" i="3"/>
  <c r="H333" i="3"/>
  <c r="H329" i="3"/>
  <c r="H325" i="3"/>
  <c r="H321" i="3"/>
  <c r="H317" i="3"/>
  <c r="H315" i="3"/>
  <c r="H311" i="3"/>
  <c r="I312" i="3"/>
  <c r="I308" i="3"/>
  <c r="J400" i="3"/>
  <c r="J353" i="3"/>
  <c r="J396" i="3"/>
  <c r="J349" i="3"/>
  <c r="J392" i="3"/>
  <c r="J345" i="3"/>
  <c r="J388" i="3"/>
  <c r="J341" i="3"/>
  <c r="J384" i="3"/>
  <c r="J337" i="3"/>
  <c r="J376" i="3"/>
  <c r="J372" i="3"/>
  <c r="J368" i="3"/>
  <c r="J364" i="3"/>
  <c r="J360" i="3"/>
  <c r="J356" i="3"/>
  <c r="J334" i="3"/>
  <c r="J330" i="3"/>
  <c r="J326" i="3"/>
  <c r="J322" i="3"/>
  <c r="J318" i="3"/>
  <c r="J316" i="3"/>
  <c r="J312" i="3"/>
  <c r="J308" i="3"/>
  <c r="E399" i="3"/>
  <c r="E352" i="3"/>
  <c r="E395" i="3"/>
  <c r="E348" i="3"/>
  <c r="E391" i="3"/>
  <c r="E344" i="3"/>
  <c r="E387" i="3"/>
  <c r="E340" i="3"/>
  <c r="E375" i="3"/>
  <c r="E371" i="3"/>
  <c r="E367" i="3"/>
  <c r="E363" i="3"/>
  <c r="E359" i="3"/>
  <c r="E355" i="3"/>
  <c r="E333" i="3"/>
  <c r="E329" i="3"/>
  <c r="E325" i="3"/>
  <c r="E321" i="3"/>
  <c r="E317" i="3"/>
  <c r="E315" i="3"/>
  <c r="E311" i="3"/>
  <c r="F398" i="3"/>
  <c r="F351" i="3"/>
  <c r="F394" i="3"/>
  <c r="F347" i="3"/>
  <c r="F390" i="3"/>
  <c r="F343" i="3"/>
  <c r="F386" i="3"/>
  <c r="F339" i="3"/>
  <c r="F374" i="3"/>
  <c r="F370" i="3"/>
  <c r="F366" i="3"/>
  <c r="F362" i="3"/>
  <c r="F358" i="3"/>
  <c r="F336" i="3"/>
  <c r="F332" i="3"/>
  <c r="F328" i="3"/>
  <c r="F324" i="3"/>
  <c r="F320" i="3"/>
  <c r="F314" i="3"/>
  <c r="F310" i="3"/>
  <c r="G398" i="3"/>
  <c r="G351" i="3"/>
  <c r="G394" i="3"/>
  <c r="G347" i="3"/>
  <c r="G390" i="3"/>
  <c r="G343" i="3"/>
  <c r="G386" i="3"/>
  <c r="G339" i="3"/>
  <c r="G374" i="3"/>
  <c r="G370" i="3"/>
  <c r="G366" i="3"/>
  <c r="G362" i="3"/>
  <c r="G358" i="3"/>
  <c r="G336" i="3"/>
  <c r="G332" i="3"/>
  <c r="G328" i="3"/>
  <c r="G324" i="3"/>
  <c r="G320" i="3"/>
  <c r="G314" i="3"/>
  <c r="G310" i="3"/>
  <c r="H398" i="3"/>
  <c r="H351" i="3"/>
  <c r="H394" i="3"/>
  <c r="H347" i="3"/>
  <c r="H390" i="3"/>
  <c r="H343" i="3"/>
  <c r="H386" i="3"/>
  <c r="H339" i="3"/>
  <c r="H374" i="3"/>
  <c r="H370" i="3"/>
  <c r="H366" i="3"/>
  <c r="H362" i="3"/>
  <c r="H358" i="3"/>
  <c r="H336" i="3"/>
  <c r="H332" i="3"/>
  <c r="H328" i="3"/>
  <c r="H324" i="3"/>
  <c r="H320" i="3"/>
  <c r="H314" i="3"/>
  <c r="H310" i="3"/>
  <c r="J399" i="3"/>
  <c r="J352" i="3"/>
  <c r="J395" i="3"/>
  <c r="J348" i="3"/>
  <c r="J391" i="3"/>
  <c r="J344" i="3"/>
  <c r="J387" i="3"/>
  <c r="J340" i="3"/>
  <c r="J375" i="3"/>
  <c r="J371" i="3"/>
  <c r="J367" i="3"/>
  <c r="J363" i="3"/>
  <c r="J359" i="3"/>
  <c r="J355" i="3"/>
  <c r="J315" i="3"/>
  <c r="J311" i="3"/>
  <c r="E398" i="3"/>
  <c r="E351" i="3"/>
  <c r="E394" i="3"/>
  <c r="E347" i="3"/>
  <c r="E390" i="3"/>
  <c r="E343" i="3"/>
  <c r="E386" i="3"/>
  <c r="E339" i="3"/>
  <c r="E374" i="3"/>
  <c r="E370" i="3"/>
  <c r="E366" i="3"/>
  <c r="E362" i="3"/>
  <c r="E358" i="3"/>
  <c r="E314" i="3"/>
  <c r="E310" i="3"/>
  <c r="F401" i="3"/>
  <c r="F354" i="3"/>
  <c r="F397" i="3"/>
  <c r="F350" i="3"/>
  <c r="F393" i="3"/>
  <c r="F346" i="3"/>
  <c r="F389" i="3"/>
  <c r="F342" i="3"/>
  <c r="F385" i="3"/>
  <c r="F338" i="3"/>
  <c r="F377" i="3"/>
  <c r="F373" i="3"/>
  <c r="F369" i="3"/>
  <c r="F365" i="3"/>
  <c r="F361" i="3"/>
  <c r="F357" i="3"/>
  <c r="F335" i="3"/>
  <c r="F331" i="3"/>
  <c r="F327" i="3"/>
  <c r="F323" i="3"/>
  <c r="F319" i="3"/>
  <c r="F313" i="3"/>
  <c r="F309" i="3"/>
  <c r="G401" i="3"/>
  <c r="G354" i="3"/>
  <c r="G397" i="3"/>
  <c r="G350" i="3"/>
  <c r="G393" i="3"/>
  <c r="G346" i="3"/>
  <c r="G389" i="3"/>
  <c r="G342" i="3"/>
  <c r="G385" i="3"/>
  <c r="G338" i="3"/>
  <c r="G377" i="3"/>
  <c r="G373" i="3"/>
  <c r="G369" i="3"/>
  <c r="G365" i="3"/>
  <c r="G361" i="3"/>
  <c r="G357" i="3"/>
  <c r="G335" i="3"/>
  <c r="G331" i="3"/>
  <c r="G327" i="3"/>
  <c r="G323" i="3"/>
  <c r="G319" i="3"/>
  <c r="G313" i="3"/>
  <c r="G309" i="3"/>
  <c r="H421" i="3"/>
  <c r="H417" i="3"/>
  <c r="H413" i="3"/>
  <c r="H409" i="3"/>
  <c r="H405" i="3"/>
  <c r="H401" i="3"/>
  <c r="H354" i="3"/>
  <c r="H397" i="3"/>
  <c r="H350" i="3"/>
  <c r="H393" i="3"/>
  <c r="H346" i="3"/>
  <c r="H389" i="3"/>
  <c r="H342" i="3"/>
  <c r="H385" i="3"/>
  <c r="H338" i="3"/>
  <c r="H377" i="3"/>
  <c r="H373" i="3"/>
  <c r="H369" i="3"/>
  <c r="H365" i="3"/>
  <c r="H361" i="3"/>
  <c r="H357" i="3"/>
  <c r="H335" i="3"/>
  <c r="H331" i="3"/>
  <c r="H327" i="3"/>
  <c r="H323" i="3"/>
  <c r="H319" i="3"/>
  <c r="H313" i="3"/>
  <c r="H309" i="3"/>
  <c r="M118" i="3"/>
  <c r="M38" i="3"/>
  <c r="M22" i="3"/>
  <c r="M37" i="3"/>
  <c r="M21" i="3"/>
  <c r="M116" i="3"/>
  <c r="M36" i="3"/>
  <c r="M20" i="3"/>
  <c r="M4" i="3"/>
  <c r="M107" i="3"/>
  <c r="M43" i="3"/>
  <c r="M27" i="3"/>
  <c r="M82" i="3"/>
  <c r="M34" i="3"/>
  <c r="M18" i="3"/>
  <c r="M33" i="3"/>
  <c r="M17" i="3"/>
  <c r="M32" i="3"/>
  <c r="M119" i="3"/>
  <c r="M39" i="3"/>
  <c r="M23" i="3"/>
  <c r="M94" i="3"/>
  <c r="M30" i="3"/>
  <c r="M14" i="3"/>
  <c r="M109" i="3"/>
  <c r="M29" i="3"/>
  <c r="M13" i="3"/>
  <c r="M108" i="3"/>
  <c r="M92" i="3"/>
  <c r="M28" i="3"/>
  <c r="M12" i="3"/>
  <c r="M35" i="3"/>
  <c r="M19" i="3"/>
  <c r="M106" i="3"/>
  <c r="M42" i="3"/>
  <c r="M26" i="3"/>
  <c r="M105" i="3"/>
  <c r="M41" i="3"/>
  <c r="M25" i="3"/>
  <c r="M40" i="3"/>
  <c r="M24" i="3"/>
  <c r="M95" i="3"/>
  <c r="M31" i="3"/>
  <c r="E3" i="3"/>
  <c r="I3" i="3"/>
  <c r="J3" i="3"/>
  <c r="F3" i="3"/>
  <c r="G3" i="3"/>
  <c r="H3" i="3"/>
  <c r="C429" i="3"/>
  <c r="C430" i="3"/>
  <c r="K427" i="3"/>
  <c r="L427" i="3"/>
  <c r="C427" i="3"/>
  <c r="C431" i="3"/>
  <c r="D431" i="3"/>
  <c r="D430" i="3"/>
  <c r="D429" i="3"/>
  <c r="D428" i="3"/>
  <c r="M422" i="3" s="1"/>
  <c r="C428" i="3"/>
  <c r="K431" i="3"/>
  <c r="K430" i="3"/>
  <c r="K429" i="3"/>
  <c r="K428" i="3"/>
  <c r="L431" i="3"/>
  <c r="L428" i="3"/>
  <c r="L430" i="3"/>
  <c r="L429" i="3"/>
  <c r="I427" i="3" l="1"/>
  <c r="R194" i="3"/>
  <c r="R162" i="3"/>
  <c r="R206" i="3"/>
  <c r="R126" i="3"/>
  <c r="R138" i="3"/>
  <c r="R347" i="3"/>
  <c r="R208" i="3"/>
  <c r="R64" i="3"/>
  <c r="R219" i="3"/>
  <c r="R59" i="3"/>
  <c r="R69" i="3"/>
  <c r="R281" i="3"/>
  <c r="R233" i="3"/>
  <c r="R185" i="3"/>
  <c r="R268" i="3"/>
  <c r="R252" i="3"/>
  <c r="R204" i="3"/>
  <c r="R60" i="3"/>
  <c r="R231" i="3"/>
  <c r="R71" i="3"/>
  <c r="R70" i="3"/>
  <c r="R227" i="3"/>
  <c r="R109" i="3"/>
  <c r="R209" i="3"/>
  <c r="R276" i="3"/>
  <c r="R84" i="3"/>
  <c r="R137" i="3"/>
  <c r="R9" i="3"/>
  <c r="M159" i="3"/>
  <c r="M223" i="3"/>
  <c r="M287" i="3"/>
  <c r="M351" i="3"/>
  <c r="M415" i="3"/>
  <c r="M104" i="3"/>
  <c r="M168" i="3"/>
  <c r="M232" i="3"/>
  <c r="M296" i="3"/>
  <c r="M360" i="3"/>
  <c r="M9" i="3"/>
  <c r="M73" i="3"/>
  <c r="M137" i="3"/>
  <c r="M201" i="3"/>
  <c r="M265" i="3"/>
  <c r="M329" i="3"/>
  <c r="M393" i="3"/>
  <c r="M170" i="3"/>
  <c r="M234" i="3"/>
  <c r="M298" i="3"/>
  <c r="M362" i="3"/>
  <c r="M83" i="3"/>
  <c r="M147" i="3"/>
  <c r="M211" i="3"/>
  <c r="M275" i="3"/>
  <c r="M339" i="3"/>
  <c r="M403" i="3"/>
  <c r="M156" i="3"/>
  <c r="M220" i="3"/>
  <c r="M284" i="3"/>
  <c r="M348" i="3"/>
  <c r="M416" i="3"/>
  <c r="M61" i="3"/>
  <c r="M125" i="3"/>
  <c r="M189" i="3"/>
  <c r="M253" i="3"/>
  <c r="M317" i="3"/>
  <c r="M381" i="3"/>
  <c r="M158" i="3"/>
  <c r="M222" i="3"/>
  <c r="M286" i="3"/>
  <c r="M350" i="3"/>
  <c r="M414" i="3"/>
  <c r="M55" i="3"/>
  <c r="M183" i="3"/>
  <c r="M247" i="3"/>
  <c r="M311" i="3"/>
  <c r="M375" i="3"/>
  <c r="M16" i="3"/>
  <c r="M80" i="3"/>
  <c r="M144" i="3"/>
  <c r="M208" i="3"/>
  <c r="M272" i="3"/>
  <c r="M336" i="3"/>
  <c r="M404" i="3"/>
  <c r="M49" i="3"/>
  <c r="M113" i="3"/>
  <c r="M177" i="3"/>
  <c r="M241" i="3"/>
  <c r="M305" i="3"/>
  <c r="M369" i="3"/>
  <c r="M146" i="3"/>
  <c r="M210" i="3"/>
  <c r="M274" i="3"/>
  <c r="M338" i="3"/>
  <c r="M402" i="3"/>
  <c r="M171" i="3"/>
  <c r="M235" i="3"/>
  <c r="M299" i="3"/>
  <c r="M363" i="3"/>
  <c r="M68" i="3"/>
  <c r="M132" i="3"/>
  <c r="M196" i="3"/>
  <c r="M260" i="3"/>
  <c r="M324" i="3"/>
  <c r="M388" i="3"/>
  <c r="M101" i="3"/>
  <c r="M165" i="3"/>
  <c r="M229" i="3"/>
  <c r="M293" i="3"/>
  <c r="M357" i="3"/>
  <c r="M421" i="3"/>
  <c r="M54" i="3"/>
  <c r="M182" i="3"/>
  <c r="M246" i="3"/>
  <c r="M310" i="3"/>
  <c r="M374" i="3"/>
  <c r="T225" i="3"/>
  <c r="T33" i="3"/>
  <c r="T289" i="3"/>
  <c r="T97" i="3"/>
  <c r="T353" i="3"/>
  <c r="T161" i="3"/>
  <c r="T395" i="3"/>
  <c r="T337" i="3"/>
  <c r="T257" i="3"/>
  <c r="T177" i="3"/>
  <c r="T81" i="3"/>
  <c r="T424" i="3"/>
  <c r="T408" i="3"/>
  <c r="T392" i="3"/>
  <c r="T376" i="3"/>
  <c r="T360" i="3"/>
  <c r="T344" i="3"/>
  <c r="T328" i="3"/>
  <c r="T312" i="3"/>
  <c r="T296" i="3"/>
  <c r="T280" i="3"/>
  <c r="T264" i="3"/>
  <c r="T248" i="3"/>
  <c r="T232" i="3"/>
  <c r="T216" i="3"/>
  <c r="T200" i="3"/>
  <c r="T184" i="3"/>
  <c r="T168" i="3"/>
  <c r="T152" i="3"/>
  <c r="T136" i="3"/>
  <c r="T120" i="3"/>
  <c r="T104" i="3"/>
  <c r="T88" i="3"/>
  <c r="T72" i="3"/>
  <c r="T56" i="3"/>
  <c r="T40" i="3"/>
  <c r="T24" i="3"/>
  <c r="T8" i="3"/>
  <c r="T403" i="3"/>
  <c r="T414" i="3"/>
  <c r="T398" i="3"/>
  <c r="T382" i="3"/>
  <c r="T366" i="3"/>
  <c r="T350" i="3"/>
  <c r="T334" i="3"/>
  <c r="T318" i="3"/>
  <c r="T302" i="3"/>
  <c r="T286" i="3"/>
  <c r="T270" i="3"/>
  <c r="T254" i="3"/>
  <c r="T238" i="3"/>
  <c r="T222" i="3"/>
  <c r="T206" i="3"/>
  <c r="T190" i="3"/>
  <c r="T174" i="3"/>
  <c r="T158" i="3"/>
  <c r="T142" i="3"/>
  <c r="T126" i="3"/>
  <c r="T110" i="3"/>
  <c r="T94" i="3"/>
  <c r="T78" i="3"/>
  <c r="T62" i="3"/>
  <c r="T46" i="3"/>
  <c r="T30" i="3"/>
  <c r="T14" i="3"/>
  <c r="T407" i="3"/>
  <c r="T375" i="3"/>
  <c r="T359" i="3"/>
  <c r="T343" i="3"/>
  <c r="T327" i="3"/>
  <c r="T311" i="3"/>
  <c r="T295" i="3"/>
  <c r="T279" i="3"/>
  <c r="T263" i="3"/>
  <c r="T247" i="3"/>
  <c r="T231" i="3"/>
  <c r="T215" i="3"/>
  <c r="T199" i="3"/>
  <c r="T183" i="3"/>
  <c r="T167" i="3"/>
  <c r="T151" i="3"/>
  <c r="T135" i="3"/>
  <c r="T119" i="3"/>
  <c r="T103" i="3"/>
  <c r="T87" i="3"/>
  <c r="T71" i="3"/>
  <c r="T55" i="3"/>
  <c r="T39" i="3"/>
  <c r="T23" i="3"/>
  <c r="T7" i="3"/>
  <c r="T409" i="3"/>
  <c r="T393" i="3"/>
  <c r="T377" i="3"/>
  <c r="T357" i="3"/>
  <c r="T333" i="3"/>
  <c r="T313" i="3"/>
  <c r="T293" i="3"/>
  <c r="T269" i="3"/>
  <c r="T249" i="3"/>
  <c r="T229" i="3"/>
  <c r="T205" i="3"/>
  <c r="T185" i="3"/>
  <c r="T165" i="3"/>
  <c r="T141" i="3"/>
  <c r="T121" i="3"/>
  <c r="T101" i="3"/>
  <c r="T77" i="3"/>
  <c r="T57" i="3"/>
  <c r="T37" i="3"/>
  <c r="T13" i="3"/>
  <c r="T321" i="3"/>
  <c r="T241" i="3"/>
  <c r="T145" i="3"/>
  <c r="T65" i="3"/>
  <c r="T420" i="3"/>
  <c r="T404" i="3"/>
  <c r="T388" i="3"/>
  <c r="T372" i="3"/>
  <c r="T356" i="3"/>
  <c r="T340" i="3"/>
  <c r="T324" i="3"/>
  <c r="T308" i="3"/>
  <c r="T292" i="3"/>
  <c r="T276" i="3"/>
  <c r="T260" i="3"/>
  <c r="T244" i="3"/>
  <c r="T228" i="3"/>
  <c r="T212" i="3"/>
  <c r="T196" i="3"/>
  <c r="T180" i="3"/>
  <c r="T164" i="3"/>
  <c r="T148" i="3"/>
  <c r="T132" i="3"/>
  <c r="T116" i="3"/>
  <c r="T100" i="3"/>
  <c r="T84" i="3"/>
  <c r="T68" i="3"/>
  <c r="T52" i="3"/>
  <c r="T36" i="3"/>
  <c r="T20" i="3"/>
  <c r="T4" i="3"/>
  <c r="T387" i="3"/>
  <c r="T410" i="3"/>
  <c r="T394" i="3"/>
  <c r="T378" i="3"/>
  <c r="T362" i="3"/>
  <c r="T346" i="3"/>
  <c r="T330" i="3"/>
  <c r="T314" i="3"/>
  <c r="T298" i="3"/>
  <c r="T282" i="3"/>
  <c r="T266" i="3"/>
  <c r="T250" i="3"/>
  <c r="T234" i="3"/>
  <c r="T218" i="3"/>
  <c r="T202" i="3"/>
  <c r="T186" i="3"/>
  <c r="T170" i="3"/>
  <c r="T154" i="3"/>
  <c r="T138" i="3"/>
  <c r="T122" i="3"/>
  <c r="T106" i="3"/>
  <c r="T90" i="3"/>
  <c r="T74" i="3"/>
  <c r="T58" i="3"/>
  <c r="T42" i="3"/>
  <c r="T26" i="3"/>
  <c r="T10" i="3"/>
  <c r="T399" i="3"/>
  <c r="T371" i="3"/>
  <c r="T355" i="3"/>
  <c r="T339" i="3"/>
  <c r="T323" i="3"/>
  <c r="T307" i="3"/>
  <c r="T291" i="3"/>
  <c r="T275" i="3"/>
  <c r="T259" i="3"/>
  <c r="T243" i="3"/>
  <c r="T227" i="3"/>
  <c r="T211" i="3"/>
  <c r="T195" i="3"/>
  <c r="T179" i="3"/>
  <c r="T163" i="3"/>
  <c r="T147" i="3"/>
  <c r="T131" i="3"/>
  <c r="T115" i="3"/>
  <c r="T99" i="3"/>
  <c r="T83" i="3"/>
  <c r="T67" i="3"/>
  <c r="T51" i="3"/>
  <c r="T35" i="3"/>
  <c r="T19" i="3"/>
  <c r="T421" i="3"/>
  <c r="T405" i="3"/>
  <c r="T389" i="3"/>
  <c r="T373" i="3"/>
  <c r="T349" i="3"/>
  <c r="T329" i="3"/>
  <c r="T309" i="3"/>
  <c r="T285" i="3"/>
  <c r="T265" i="3"/>
  <c r="T245" i="3"/>
  <c r="T221" i="3"/>
  <c r="T201" i="3"/>
  <c r="T181" i="3"/>
  <c r="T157" i="3"/>
  <c r="T137" i="3"/>
  <c r="T117" i="3"/>
  <c r="T93" i="3"/>
  <c r="T73" i="3"/>
  <c r="T53" i="3"/>
  <c r="T29" i="3"/>
  <c r="T9" i="3"/>
  <c r="T305" i="3"/>
  <c r="T209" i="3"/>
  <c r="T129" i="3"/>
  <c r="T49" i="3"/>
  <c r="T416" i="3"/>
  <c r="T400" i="3"/>
  <c r="T384" i="3"/>
  <c r="T368" i="3"/>
  <c r="T352" i="3"/>
  <c r="T336" i="3"/>
  <c r="T320" i="3"/>
  <c r="T304" i="3"/>
  <c r="T288" i="3"/>
  <c r="T272" i="3"/>
  <c r="T256" i="3"/>
  <c r="T240" i="3"/>
  <c r="T224" i="3"/>
  <c r="T208" i="3"/>
  <c r="T192" i="3"/>
  <c r="T176" i="3"/>
  <c r="T160" i="3"/>
  <c r="T144" i="3"/>
  <c r="T128" i="3"/>
  <c r="T112" i="3"/>
  <c r="T96" i="3"/>
  <c r="T80" i="3"/>
  <c r="T64" i="3"/>
  <c r="T48" i="3"/>
  <c r="T32" i="3"/>
  <c r="T16" i="3"/>
  <c r="T419" i="3"/>
  <c r="T379" i="3"/>
  <c r="T422" i="3"/>
  <c r="T406" i="3"/>
  <c r="T390" i="3"/>
  <c r="T374" i="3"/>
  <c r="T358" i="3"/>
  <c r="T342" i="3"/>
  <c r="T326" i="3"/>
  <c r="T310" i="3"/>
  <c r="T294" i="3"/>
  <c r="T278" i="3"/>
  <c r="T262" i="3"/>
  <c r="T246" i="3"/>
  <c r="T230" i="3"/>
  <c r="T214" i="3"/>
  <c r="T198" i="3"/>
  <c r="T182" i="3"/>
  <c r="T166" i="3"/>
  <c r="T150" i="3"/>
  <c r="T134" i="3"/>
  <c r="T118" i="3"/>
  <c r="T102" i="3"/>
  <c r="T86" i="3"/>
  <c r="T70" i="3"/>
  <c r="T54" i="3"/>
  <c r="T38" i="3"/>
  <c r="T22" i="3"/>
  <c r="T6" i="3"/>
  <c r="T423" i="3"/>
  <c r="T391" i="3"/>
  <c r="T367" i="3"/>
  <c r="T351" i="3"/>
  <c r="T335" i="3"/>
  <c r="T319" i="3"/>
  <c r="T303" i="3"/>
  <c r="T287" i="3"/>
  <c r="T271" i="3"/>
  <c r="T255" i="3"/>
  <c r="T239" i="3"/>
  <c r="T223" i="3"/>
  <c r="T207" i="3"/>
  <c r="T191" i="3"/>
  <c r="T175" i="3"/>
  <c r="T159" i="3"/>
  <c r="T143" i="3"/>
  <c r="T127" i="3"/>
  <c r="T111" i="3"/>
  <c r="T95" i="3"/>
  <c r="T79" i="3"/>
  <c r="T63" i="3"/>
  <c r="T47" i="3"/>
  <c r="T31" i="3"/>
  <c r="T15" i="3"/>
  <c r="T417" i="3"/>
  <c r="T401" i="3"/>
  <c r="T385" i="3"/>
  <c r="T365" i="3"/>
  <c r="T345" i="3"/>
  <c r="T325" i="3"/>
  <c r="T301" i="3"/>
  <c r="T281" i="3"/>
  <c r="T261" i="3"/>
  <c r="T237" i="3"/>
  <c r="T217" i="3"/>
  <c r="T197" i="3"/>
  <c r="T173" i="3"/>
  <c r="T153" i="3"/>
  <c r="T133" i="3"/>
  <c r="T109" i="3"/>
  <c r="T89" i="3"/>
  <c r="T69" i="3"/>
  <c r="T45" i="3"/>
  <c r="T25" i="3"/>
  <c r="T5" i="3"/>
  <c r="T369" i="3"/>
  <c r="T273" i="3"/>
  <c r="T193" i="3"/>
  <c r="T113" i="3"/>
  <c r="T17" i="3"/>
  <c r="T412" i="3"/>
  <c r="T396" i="3"/>
  <c r="T380" i="3"/>
  <c r="T364" i="3"/>
  <c r="T348" i="3"/>
  <c r="T332" i="3"/>
  <c r="T316" i="3"/>
  <c r="T300" i="3"/>
  <c r="T284" i="3"/>
  <c r="T268" i="3"/>
  <c r="T252" i="3"/>
  <c r="T236" i="3"/>
  <c r="T220" i="3"/>
  <c r="T204" i="3"/>
  <c r="T188" i="3"/>
  <c r="T172" i="3"/>
  <c r="T156" i="3"/>
  <c r="T140" i="3"/>
  <c r="T124" i="3"/>
  <c r="T108" i="3"/>
  <c r="T92" i="3"/>
  <c r="T76" i="3"/>
  <c r="T60" i="3"/>
  <c r="T44" i="3"/>
  <c r="T28" i="3"/>
  <c r="T12" i="3"/>
  <c r="T411" i="3"/>
  <c r="T418" i="3"/>
  <c r="T402" i="3"/>
  <c r="T386" i="3"/>
  <c r="T370" i="3"/>
  <c r="T354" i="3"/>
  <c r="T338" i="3"/>
  <c r="T322" i="3"/>
  <c r="T306" i="3"/>
  <c r="T290" i="3"/>
  <c r="T274" i="3"/>
  <c r="T258" i="3"/>
  <c r="T242" i="3"/>
  <c r="T226" i="3"/>
  <c r="T210" i="3"/>
  <c r="T194" i="3"/>
  <c r="T178" i="3"/>
  <c r="T162" i="3"/>
  <c r="T146" i="3"/>
  <c r="T130" i="3"/>
  <c r="T114" i="3"/>
  <c r="T98" i="3"/>
  <c r="T82" i="3"/>
  <c r="T66" i="3"/>
  <c r="T50" i="3"/>
  <c r="T34" i="3"/>
  <c r="T18" i="3"/>
  <c r="T415" i="3"/>
  <c r="T383" i="3"/>
  <c r="T363" i="3"/>
  <c r="T347" i="3"/>
  <c r="T331" i="3"/>
  <c r="T315" i="3"/>
  <c r="T299" i="3"/>
  <c r="T283" i="3"/>
  <c r="T267" i="3"/>
  <c r="T251" i="3"/>
  <c r="T235" i="3"/>
  <c r="T219" i="3"/>
  <c r="T203" i="3"/>
  <c r="T187" i="3"/>
  <c r="T171" i="3"/>
  <c r="T155" i="3"/>
  <c r="T139" i="3"/>
  <c r="T123" i="3"/>
  <c r="T107" i="3"/>
  <c r="T91" i="3"/>
  <c r="T75" i="3"/>
  <c r="T59" i="3"/>
  <c r="T43" i="3"/>
  <c r="T27" i="3"/>
  <c r="T11" i="3"/>
  <c r="T413" i="3"/>
  <c r="T397" i="3"/>
  <c r="T381" i="3"/>
  <c r="T361" i="3"/>
  <c r="T341" i="3"/>
  <c r="T317" i="3"/>
  <c r="T297" i="3"/>
  <c r="T277" i="3"/>
  <c r="T253" i="3"/>
  <c r="T233" i="3"/>
  <c r="T213" i="3"/>
  <c r="T189" i="3"/>
  <c r="T169" i="3"/>
  <c r="T149" i="3"/>
  <c r="T125" i="3"/>
  <c r="T105" i="3"/>
  <c r="T85" i="3"/>
  <c r="T61" i="3"/>
  <c r="T41" i="3"/>
  <c r="T21" i="3"/>
  <c r="M47" i="3"/>
  <c r="M111" i="3"/>
  <c r="M175" i="3"/>
  <c r="M239" i="3"/>
  <c r="M303" i="3"/>
  <c r="M367" i="3"/>
  <c r="M400" i="3"/>
  <c r="M56" i="3"/>
  <c r="M120" i="3"/>
  <c r="M184" i="3"/>
  <c r="M248" i="3"/>
  <c r="M312" i="3"/>
  <c r="M376" i="3"/>
  <c r="M89" i="3"/>
  <c r="M153" i="3"/>
  <c r="M217" i="3"/>
  <c r="M281" i="3"/>
  <c r="M345" i="3"/>
  <c r="M409" i="3"/>
  <c r="M58" i="3"/>
  <c r="M122" i="3"/>
  <c r="M186" i="3"/>
  <c r="M250" i="3"/>
  <c r="M314" i="3"/>
  <c r="M378" i="3"/>
  <c r="M99" i="3"/>
  <c r="M163" i="3"/>
  <c r="M227" i="3"/>
  <c r="M291" i="3"/>
  <c r="M355" i="3"/>
  <c r="M419" i="3"/>
  <c r="M44" i="3"/>
  <c r="M172" i="3"/>
  <c r="M236" i="3"/>
  <c r="M300" i="3"/>
  <c r="M364" i="3"/>
  <c r="M77" i="3"/>
  <c r="M141" i="3"/>
  <c r="M205" i="3"/>
  <c r="M269" i="3"/>
  <c r="M333" i="3"/>
  <c r="M397" i="3"/>
  <c r="M46" i="3"/>
  <c r="M110" i="3"/>
  <c r="M174" i="3"/>
  <c r="M238" i="3"/>
  <c r="M302" i="3"/>
  <c r="M366" i="3"/>
  <c r="M7" i="3"/>
  <c r="M71" i="3"/>
  <c r="M135" i="3"/>
  <c r="M199" i="3"/>
  <c r="M263" i="3"/>
  <c r="M327" i="3"/>
  <c r="M391" i="3"/>
  <c r="M96" i="3"/>
  <c r="M160" i="3"/>
  <c r="M224" i="3"/>
  <c r="M288" i="3"/>
  <c r="M352" i="3"/>
  <c r="M420" i="3"/>
  <c r="M65" i="3"/>
  <c r="M129" i="3"/>
  <c r="M193" i="3"/>
  <c r="M257" i="3"/>
  <c r="M321" i="3"/>
  <c r="M385" i="3"/>
  <c r="M98" i="3"/>
  <c r="M162" i="3"/>
  <c r="M226" i="3"/>
  <c r="M290" i="3"/>
  <c r="M354" i="3"/>
  <c r="M418" i="3"/>
  <c r="M59" i="3"/>
  <c r="M123" i="3"/>
  <c r="M187" i="3"/>
  <c r="M251" i="3"/>
  <c r="M315" i="3"/>
  <c r="M379" i="3"/>
  <c r="M84" i="3"/>
  <c r="M148" i="3"/>
  <c r="M212" i="3"/>
  <c r="M276" i="3"/>
  <c r="M340" i="3"/>
  <c r="M408" i="3"/>
  <c r="M53" i="3"/>
  <c r="M117" i="3"/>
  <c r="M181" i="3"/>
  <c r="M245" i="3"/>
  <c r="M309" i="3"/>
  <c r="M373" i="3"/>
  <c r="M6" i="3"/>
  <c r="M70" i="3"/>
  <c r="M134" i="3"/>
  <c r="M198" i="3"/>
  <c r="M262" i="3"/>
  <c r="M326" i="3"/>
  <c r="M390" i="3"/>
  <c r="M63" i="3"/>
  <c r="M127" i="3"/>
  <c r="M191" i="3"/>
  <c r="M255" i="3"/>
  <c r="M319" i="3"/>
  <c r="M383" i="3"/>
  <c r="M8" i="3"/>
  <c r="M72" i="3"/>
  <c r="M136" i="3"/>
  <c r="M200" i="3"/>
  <c r="M264" i="3"/>
  <c r="M328" i="3"/>
  <c r="M392" i="3"/>
  <c r="M169" i="3"/>
  <c r="M233" i="3"/>
  <c r="M297" i="3"/>
  <c r="M361" i="3"/>
  <c r="M10" i="3"/>
  <c r="M74" i="3"/>
  <c r="M138" i="3"/>
  <c r="M202" i="3"/>
  <c r="M266" i="3"/>
  <c r="M330" i="3"/>
  <c r="M394" i="3"/>
  <c r="M51" i="3"/>
  <c r="M115" i="3"/>
  <c r="M179" i="3"/>
  <c r="M243" i="3"/>
  <c r="M307" i="3"/>
  <c r="M371" i="3"/>
  <c r="M424" i="3"/>
  <c r="M60" i="3"/>
  <c r="M124" i="3"/>
  <c r="M188" i="3"/>
  <c r="M252" i="3"/>
  <c r="M316" i="3"/>
  <c r="M380" i="3"/>
  <c r="M93" i="3"/>
  <c r="M157" i="3"/>
  <c r="M221" i="3"/>
  <c r="M285" i="3"/>
  <c r="M349" i="3"/>
  <c r="M413" i="3"/>
  <c r="M62" i="3"/>
  <c r="M126" i="3"/>
  <c r="M190" i="3"/>
  <c r="M254" i="3"/>
  <c r="M318" i="3"/>
  <c r="M382" i="3"/>
  <c r="M87" i="3"/>
  <c r="M151" i="3"/>
  <c r="M215" i="3"/>
  <c r="M279" i="3"/>
  <c r="M343" i="3"/>
  <c r="M407" i="3"/>
  <c r="M48" i="3"/>
  <c r="M112" i="3"/>
  <c r="M176" i="3"/>
  <c r="M240" i="3"/>
  <c r="M304" i="3"/>
  <c r="M368" i="3"/>
  <c r="M81" i="3"/>
  <c r="M145" i="3"/>
  <c r="M209" i="3"/>
  <c r="M273" i="3"/>
  <c r="M337" i="3"/>
  <c r="M401" i="3"/>
  <c r="M50" i="3"/>
  <c r="M114" i="3"/>
  <c r="M178" i="3"/>
  <c r="M242" i="3"/>
  <c r="M306" i="3"/>
  <c r="M370" i="3"/>
  <c r="M11" i="3"/>
  <c r="M75" i="3"/>
  <c r="M139" i="3"/>
  <c r="M203" i="3"/>
  <c r="M267" i="3"/>
  <c r="M331" i="3"/>
  <c r="M395" i="3"/>
  <c r="M100" i="3"/>
  <c r="M164" i="3"/>
  <c r="M228" i="3"/>
  <c r="M292" i="3"/>
  <c r="M356" i="3"/>
  <c r="M5" i="3"/>
  <c r="M69" i="3"/>
  <c r="M133" i="3"/>
  <c r="M197" i="3"/>
  <c r="M261" i="3"/>
  <c r="M325" i="3"/>
  <c r="M389" i="3"/>
  <c r="M86" i="3"/>
  <c r="M150" i="3"/>
  <c r="M214" i="3"/>
  <c r="M278" i="3"/>
  <c r="M342" i="3"/>
  <c r="M406" i="3"/>
  <c r="U289" i="3"/>
  <c r="U225" i="3"/>
  <c r="C224" i="5" s="1"/>
  <c r="U33" i="3"/>
  <c r="U224" i="3"/>
  <c r="U112" i="3"/>
  <c r="U32" i="3"/>
  <c r="U371" i="3"/>
  <c r="U303" i="3"/>
  <c r="U39" i="3"/>
  <c r="U419" i="3"/>
  <c r="C418" i="5" s="1"/>
  <c r="U83" i="3"/>
  <c r="U390" i="3"/>
  <c r="U278" i="3"/>
  <c r="U230" i="3"/>
  <c r="U214" i="3"/>
  <c r="U38" i="3"/>
  <c r="U22" i="3"/>
  <c r="U365" i="3"/>
  <c r="U221" i="3"/>
  <c r="U109" i="3"/>
  <c r="U29" i="3"/>
  <c r="U412" i="3"/>
  <c r="C411" i="5" s="1"/>
  <c r="U364" i="3"/>
  <c r="U108" i="3"/>
  <c r="U28" i="3"/>
  <c r="U12" i="3"/>
  <c r="U227" i="3"/>
  <c r="U31" i="3"/>
  <c r="U231" i="3"/>
  <c r="U43" i="3"/>
  <c r="U290" i="3"/>
  <c r="U258" i="3"/>
  <c r="U226" i="3"/>
  <c r="U194" i="3"/>
  <c r="U82" i="3"/>
  <c r="U34" i="3"/>
  <c r="U217" i="3"/>
  <c r="U185" i="3"/>
  <c r="U153" i="3"/>
  <c r="U137" i="3"/>
  <c r="U41" i="3"/>
  <c r="U25" i="3"/>
  <c r="U248" i="3"/>
  <c r="U232" i="3"/>
  <c r="U216" i="3"/>
  <c r="U136" i="3"/>
  <c r="U40" i="3"/>
  <c r="U24" i="3"/>
  <c r="U355" i="3"/>
  <c r="U219" i="3"/>
  <c r="U23" i="3"/>
  <c r="U223" i="3"/>
  <c r="U35" i="3"/>
  <c r="U414" i="3"/>
  <c r="C413" i="5" s="1"/>
  <c r="U238" i="3"/>
  <c r="U222" i="3"/>
  <c r="U30" i="3"/>
  <c r="U325" i="3"/>
  <c r="U213" i="3"/>
  <c r="U37" i="3"/>
  <c r="U21" i="3"/>
  <c r="U388" i="3"/>
  <c r="U372" i="3"/>
  <c r="U212" i="3"/>
  <c r="U196" i="3"/>
  <c r="U36" i="3"/>
  <c r="U20" i="3"/>
  <c r="U367" i="3"/>
  <c r="U27" i="3"/>
  <c r="U234" i="3"/>
  <c r="C233" i="5" s="1"/>
  <c r="U218" i="3"/>
  <c r="U154" i="3"/>
  <c r="U58" i="3"/>
  <c r="U42" i="3"/>
  <c r="U26" i="3"/>
  <c r="U10" i="3"/>
  <c r="M15" i="3"/>
  <c r="M79" i="3"/>
  <c r="M143" i="3"/>
  <c r="M207" i="3"/>
  <c r="M271" i="3"/>
  <c r="M335" i="3"/>
  <c r="M399" i="3"/>
  <c r="M88" i="3"/>
  <c r="M152" i="3"/>
  <c r="M216" i="3"/>
  <c r="M280" i="3"/>
  <c r="M344" i="3"/>
  <c r="M412" i="3"/>
  <c r="M57" i="3"/>
  <c r="M121" i="3"/>
  <c r="M185" i="3"/>
  <c r="M249" i="3"/>
  <c r="M313" i="3"/>
  <c r="M377" i="3"/>
  <c r="M90" i="3"/>
  <c r="M154" i="3"/>
  <c r="M218" i="3"/>
  <c r="M282" i="3"/>
  <c r="M346" i="3"/>
  <c r="M410" i="3"/>
  <c r="M67" i="3"/>
  <c r="M131" i="3"/>
  <c r="M195" i="3"/>
  <c r="M259" i="3"/>
  <c r="M323" i="3"/>
  <c r="M387" i="3"/>
  <c r="M76" i="3"/>
  <c r="M140" i="3"/>
  <c r="M204" i="3"/>
  <c r="M268" i="3"/>
  <c r="M332" i="3"/>
  <c r="M396" i="3"/>
  <c r="M45" i="3"/>
  <c r="M173" i="3"/>
  <c r="M237" i="3"/>
  <c r="M301" i="3"/>
  <c r="M365" i="3"/>
  <c r="M78" i="3"/>
  <c r="M142" i="3"/>
  <c r="M206" i="3"/>
  <c r="M270" i="3"/>
  <c r="M334" i="3"/>
  <c r="M398" i="3"/>
  <c r="M103" i="3"/>
  <c r="M167" i="3"/>
  <c r="M231" i="3"/>
  <c r="M295" i="3"/>
  <c r="M359" i="3"/>
  <c r="M423" i="3"/>
  <c r="M64" i="3"/>
  <c r="M128" i="3"/>
  <c r="M192" i="3"/>
  <c r="M256" i="3"/>
  <c r="M320" i="3"/>
  <c r="M384" i="3"/>
  <c r="M97" i="3"/>
  <c r="M161" i="3"/>
  <c r="M225" i="3"/>
  <c r="M289" i="3"/>
  <c r="M353" i="3"/>
  <c r="M417" i="3"/>
  <c r="M66" i="3"/>
  <c r="M130" i="3"/>
  <c r="M194" i="3"/>
  <c r="M258" i="3"/>
  <c r="M322" i="3"/>
  <c r="M386" i="3"/>
  <c r="M91" i="3"/>
  <c r="M155" i="3"/>
  <c r="M219" i="3"/>
  <c r="M283" i="3"/>
  <c r="M347" i="3"/>
  <c r="M411" i="3"/>
  <c r="M52" i="3"/>
  <c r="M180" i="3"/>
  <c r="M244" i="3"/>
  <c r="M308" i="3"/>
  <c r="M372" i="3"/>
  <c r="M85" i="3"/>
  <c r="M149" i="3"/>
  <c r="M213" i="3"/>
  <c r="M277" i="3"/>
  <c r="M341" i="3"/>
  <c r="M405" i="3"/>
  <c r="M102" i="3"/>
  <c r="M166" i="3"/>
  <c r="M230" i="3"/>
  <c r="M294" i="3"/>
  <c r="M358" i="3"/>
  <c r="C216" i="5"/>
  <c r="C218" i="5"/>
  <c r="C226" i="5"/>
  <c r="M3" i="3"/>
  <c r="K432" i="3"/>
  <c r="H428" i="3"/>
  <c r="F429" i="3"/>
  <c r="E429" i="3"/>
  <c r="J427" i="3"/>
  <c r="G427" i="3"/>
  <c r="J429" i="3"/>
  <c r="J428" i="3"/>
  <c r="H431" i="3"/>
  <c r="E427" i="3"/>
  <c r="I431" i="3"/>
  <c r="F428" i="3"/>
  <c r="F431" i="3"/>
  <c r="E430" i="3"/>
  <c r="G428" i="3"/>
  <c r="G429" i="3"/>
  <c r="G430" i="3"/>
  <c r="G431" i="3"/>
  <c r="H429" i="3"/>
  <c r="J430" i="3"/>
  <c r="E431" i="3"/>
  <c r="E428" i="3"/>
  <c r="F430" i="3"/>
  <c r="H430" i="3"/>
  <c r="J431" i="3"/>
  <c r="H427" i="3"/>
  <c r="I428" i="3"/>
  <c r="R423" i="3" s="1"/>
  <c r="I429" i="3"/>
  <c r="I430" i="3"/>
  <c r="F427" i="3"/>
  <c r="D432" i="3"/>
  <c r="L432" i="3"/>
  <c r="U369" i="3" s="1"/>
  <c r="C432" i="3"/>
  <c r="T3" i="3"/>
  <c r="U420" i="3" l="1"/>
  <c r="C419" i="5" s="1"/>
  <c r="U366" i="3"/>
  <c r="U395" i="3"/>
  <c r="C394" i="5" s="1"/>
  <c r="U360" i="3"/>
  <c r="U409" i="3"/>
  <c r="C408" i="5" s="1"/>
  <c r="U402" i="3"/>
  <c r="C401" i="5" s="1"/>
  <c r="U332" i="3"/>
  <c r="U381" i="3"/>
  <c r="U406" i="3"/>
  <c r="C405" i="5" s="1"/>
  <c r="U417" i="3"/>
  <c r="C416" i="5" s="1"/>
  <c r="R305" i="3"/>
  <c r="R405" i="3"/>
  <c r="R384" i="3"/>
  <c r="R394" i="3"/>
  <c r="R371" i="3"/>
  <c r="U340" i="3"/>
  <c r="U357" i="3"/>
  <c r="U411" i="3"/>
  <c r="U421" i="3"/>
  <c r="C420" i="5" s="1"/>
  <c r="U400" i="3"/>
  <c r="C399" i="5" s="1"/>
  <c r="U418" i="3"/>
  <c r="C417" i="5" s="1"/>
  <c r="R380" i="3"/>
  <c r="R393" i="3"/>
  <c r="R299" i="3"/>
  <c r="U335" i="3"/>
  <c r="U356" i="3"/>
  <c r="U405" i="3"/>
  <c r="C404" i="5" s="1"/>
  <c r="U302" i="3"/>
  <c r="U327" i="3"/>
  <c r="U301" i="3"/>
  <c r="U326" i="3"/>
  <c r="R340" i="3"/>
  <c r="R326" i="3"/>
  <c r="R411" i="3"/>
  <c r="U350" i="3"/>
  <c r="C302" i="5" s="1"/>
  <c r="U386" i="3"/>
  <c r="U396" i="3"/>
  <c r="C395" i="5" s="1"/>
  <c r="U316" i="3"/>
  <c r="R303" i="3"/>
  <c r="R357" i="3"/>
  <c r="R414" i="3"/>
  <c r="R370" i="3"/>
  <c r="C221" i="5"/>
  <c r="C225" i="5"/>
  <c r="C229" i="5"/>
  <c r="C389" i="5"/>
  <c r="C223" i="5"/>
  <c r="C215" i="5"/>
  <c r="C370" i="5"/>
  <c r="C220" i="5"/>
  <c r="Q423" i="3"/>
  <c r="Q407" i="3"/>
  <c r="Q391" i="3"/>
  <c r="Q375" i="3"/>
  <c r="Q359" i="3"/>
  <c r="Q343" i="3"/>
  <c r="Q327" i="3"/>
  <c r="Q311" i="3"/>
  <c r="Q295" i="3"/>
  <c r="Q279" i="3"/>
  <c r="Q263" i="3"/>
  <c r="Q247" i="3"/>
  <c r="Q231" i="3"/>
  <c r="Q215" i="3"/>
  <c r="Q199" i="3"/>
  <c r="Q183" i="3"/>
  <c r="Q167" i="3"/>
  <c r="Q151" i="3"/>
  <c r="Q135" i="3"/>
  <c r="Q119" i="3"/>
  <c r="Q103" i="3"/>
  <c r="Q418" i="3"/>
  <c r="Q402" i="3"/>
  <c r="Q386" i="3"/>
  <c r="Q370" i="3"/>
  <c r="Q354" i="3"/>
  <c r="Q338" i="3"/>
  <c r="Q322" i="3"/>
  <c r="Q306" i="3"/>
  <c r="Q290" i="3"/>
  <c r="Q274" i="3"/>
  <c r="Q258" i="3"/>
  <c r="Q242" i="3"/>
  <c r="Q226" i="3"/>
  <c r="Q210" i="3"/>
  <c r="Q194" i="3"/>
  <c r="Q178" i="3"/>
  <c r="Q162" i="3"/>
  <c r="Q146" i="3"/>
  <c r="Q130" i="3"/>
  <c r="Q114" i="3"/>
  <c r="Q98" i="3"/>
  <c r="Q82" i="3"/>
  <c r="Q66" i="3"/>
  <c r="Q50" i="3"/>
  <c r="Q34" i="3"/>
  <c r="Q18" i="3"/>
  <c r="Q413" i="3"/>
  <c r="Q397" i="3"/>
  <c r="Q381" i="3"/>
  <c r="Q365" i="3"/>
  <c r="Q349" i="3"/>
  <c r="Q333" i="3"/>
  <c r="Q317" i="3"/>
  <c r="Q301" i="3"/>
  <c r="Q285" i="3"/>
  <c r="Q269" i="3"/>
  <c r="Q253" i="3"/>
  <c r="Q237" i="3"/>
  <c r="Q221" i="3"/>
  <c r="Q205" i="3"/>
  <c r="Q189" i="3"/>
  <c r="Q173" i="3"/>
  <c r="Q157" i="3"/>
  <c r="Q141" i="3"/>
  <c r="Q125" i="3"/>
  <c r="Q109" i="3"/>
  <c r="Q93" i="3"/>
  <c r="Q77" i="3"/>
  <c r="Q61" i="3"/>
  <c r="Q45" i="3"/>
  <c r="Q29" i="3"/>
  <c r="Q13" i="3"/>
  <c r="Q419" i="3"/>
  <c r="Q403" i="3"/>
  <c r="Q387" i="3"/>
  <c r="Q371" i="3"/>
  <c r="Q355" i="3"/>
  <c r="Q339" i="3"/>
  <c r="Q323" i="3"/>
  <c r="Q307" i="3"/>
  <c r="Q291" i="3"/>
  <c r="Q275" i="3"/>
  <c r="Q259" i="3"/>
  <c r="Q243" i="3"/>
  <c r="Q227" i="3"/>
  <c r="Q211" i="3"/>
  <c r="Q195" i="3"/>
  <c r="Q179" i="3"/>
  <c r="Q163" i="3"/>
  <c r="Q147" i="3"/>
  <c r="Q131" i="3"/>
  <c r="Q115" i="3"/>
  <c r="Q99" i="3"/>
  <c r="Q414" i="3"/>
  <c r="Q398" i="3"/>
  <c r="Q382" i="3"/>
  <c r="Q366" i="3"/>
  <c r="Q350" i="3"/>
  <c r="Q334" i="3"/>
  <c r="Q318" i="3"/>
  <c r="Q302" i="3"/>
  <c r="Q286" i="3"/>
  <c r="Q270" i="3"/>
  <c r="Q254" i="3"/>
  <c r="Q238" i="3"/>
  <c r="Q222" i="3"/>
  <c r="Q206" i="3"/>
  <c r="Q190" i="3"/>
  <c r="Q174" i="3"/>
  <c r="Q158" i="3"/>
  <c r="Q142" i="3"/>
  <c r="Q126" i="3"/>
  <c r="Q110" i="3"/>
  <c r="Q94" i="3"/>
  <c r="Q78" i="3"/>
  <c r="Q62" i="3"/>
  <c r="Q46" i="3"/>
  <c r="Q30" i="3"/>
  <c r="Q14" i="3"/>
  <c r="Q409" i="3"/>
  <c r="Q393" i="3"/>
  <c r="Q377" i="3"/>
  <c r="Q361" i="3"/>
  <c r="Q345" i="3"/>
  <c r="Q329" i="3"/>
  <c r="Q313" i="3"/>
  <c r="Q297" i="3"/>
  <c r="Q281" i="3"/>
  <c r="Q265" i="3"/>
  <c r="Q249" i="3"/>
  <c r="Q233" i="3"/>
  <c r="Q217" i="3"/>
  <c r="Q201" i="3"/>
  <c r="Q185" i="3"/>
  <c r="Q169" i="3"/>
  <c r="Q153" i="3"/>
  <c r="Q137" i="3"/>
  <c r="Q121" i="3"/>
  <c r="Q105" i="3"/>
  <c r="Q89" i="3"/>
  <c r="Q73" i="3"/>
  <c r="Q57" i="3"/>
  <c r="Q41" i="3"/>
  <c r="Q25" i="3"/>
  <c r="Q9" i="3"/>
  <c r="Q415" i="3"/>
  <c r="Q399" i="3"/>
  <c r="Q383" i="3"/>
  <c r="Q367" i="3"/>
  <c r="Q351" i="3"/>
  <c r="Q335" i="3"/>
  <c r="Q319" i="3"/>
  <c r="Q303" i="3"/>
  <c r="Q287" i="3"/>
  <c r="Q271" i="3"/>
  <c r="Q255" i="3"/>
  <c r="Q239" i="3"/>
  <c r="Q223" i="3"/>
  <c r="Q207" i="3"/>
  <c r="Q191" i="3"/>
  <c r="Q175" i="3"/>
  <c r="Q159" i="3"/>
  <c r="Q143" i="3"/>
  <c r="Q127" i="3"/>
  <c r="Q111" i="3"/>
  <c r="Q95" i="3"/>
  <c r="Q410" i="3"/>
  <c r="Q394" i="3"/>
  <c r="Q378" i="3"/>
  <c r="Q362" i="3"/>
  <c r="Q346" i="3"/>
  <c r="Q330" i="3"/>
  <c r="Q314" i="3"/>
  <c r="Q298" i="3"/>
  <c r="Q282" i="3"/>
  <c r="Q266" i="3"/>
  <c r="Q250" i="3"/>
  <c r="Q234" i="3"/>
  <c r="Q218" i="3"/>
  <c r="Q202" i="3"/>
  <c r="Q186" i="3"/>
  <c r="Q170" i="3"/>
  <c r="Q154" i="3"/>
  <c r="Q138" i="3"/>
  <c r="Q122" i="3"/>
  <c r="Q106" i="3"/>
  <c r="Q90" i="3"/>
  <c r="Q74" i="3"/>
  <c r="Q58" i="3"/>
  <c r="Q42" i="3"/>
  <c r="Q26" i="3"/>
  <c r="Q10" i="3"/>
  <c r="Q421" i="3"/>
  <c r="Q405" i="3"/>
  <c r="Q389" i="3"/>
  <c r="Q373" i="3"/>
  <c r="Q357" i="3"/>
  <c r="Q341" i="3"/>
  <c r="Q325" i="3"/>
  <c r="Q309" i="3"/>
  <c r="Q293" i="3"/>
  <c r="Q277" i="3"/>
  <c r="Q261" i="3"/>
  <c r="Q245" i="3"/>
  <c r="Q229" i="3"/>
  <c r="Q213" i="3"/>
  <c r="Q197" i="3"/>
  <c r="Q181" i="3"/>
  <c r="Q165" i="3"/>
  <c r="Q149" i="3"/>
  <c r="Q133" i="3"/>
  <c r="Q117" i="3"/>
  <c r="Q101" i="3"/>
  <c r="Q85" i="3"/>
  <c r="Q69" i="3"/>
  <c r="Q53" i="3"/>
  <c r="Q37" i="3"/>
  <c r="Q21" i="3"/>
  <c r="Q5" i="3"/>
  <c r="Q411" i="3"/>
  <c r="Q395" i="3"/>
  <c r="Q379" i="3"/>
  <c r="Q363" i="3"/>
  <c r="Q347" i="3"/>
  <c r="Q331" i="3"/>
  <c r="Q315" i="3"/>
  <c r="Q299" i="3"/>
  <c r="Q283" i="3"/>
  <c r="Q267" i="3"/>
  <c r="Q251" i="3"/>
  <c r="Q235" i="3"/>
  <c r="Q219" i="3"/>
  <c r="Q203" i="3"/>
  <c r="Q187" i="3"/>
  <c r="Q171" i="3"/>
  <c r="Q155" i="3"/>
  <c r="Q139" i="3"/>
  <c r="Q123" i="3"/>
  <c r="Q107" i="3"/>
  <c r="Q422" i="3"/>
  <c r="Q406" i="3"/>
  <c r="Q390" i="3"/>
  <c r="Q374" i="3"/>
  <c r="Q358" i="3"/>
  <c r="Q342" i="3"/>
  <c r="Q326" i="3"/>
  <c r="Q310" i="3"/>
  <c r="Q294" i="3"/>
  <c r="Q278" i="3"/>
  <c r="Q262" i="3"/>
  <c r="Q246" i="3"/>
  <c r="Q230" i="3"/>
  <c r="Q214" i="3"/>
  <c r="Q198" i="3"/>
  <c r="Q182" i="3"/>
  <c r="Q166" i="3"/>
  <c r="Q150" i="3"/>
  <c r="Q134" i="3"/>
  <c r="Q118" i="3"/>
  <c r="Q102" i="3"/>
  <c r="Q86" i="3"/>
  <c r="Q70" i="3"/>
  <c r="Q54" i="3"/>
  <c r="Q38" i="3"/>
  <c r="Q22" i="3"/>
  <c r="Q6" i="3"/>
  <c r="Q417" i="3"/>
  <c r="Q401" i="3"/>
  <c r="Q385" i="3"/>
  <c r="Q369" i="3"/>
  <c r="Q353" i="3"/>
  <c r="Q337" i="3"/>
  <c r="Q321" i="3"/>
  <c r="Q305" i="3"/>
  <c r="Q289" i="3"/>
  <c r="Q273" i="3"/>
  <c r="Q257" i="3"/>
  <c r="Q241" i="3"/>
  <c r="Q225" i="3"/>
  <c r="Q209" i="3"/>
  <c r="Q193" i="3"/>
  <c r="Q177" i="3"/>
  <c r="Q161" i="3"/>
  <c r="Q145" i="3"/>
  <c r="Q129" i="3"/>
  <c r="Q113" i="3"/>
  <c r="Q97" i="3"/>
  <c r="Q81" i="3"/>
  <c r="Q65" i="3"/>
  <c r="Q49" i="3"/>
  <c r="Q33" i="3"/>
  <c r="Q17" i="3"/>
  <c r="Q424" i="3"/>
  <c r="Q408" i="3"/>
  <c r="Q392" i="3"/>
  <c r="Q376" i="3"/>
  <c r="Q360" i="3"/>
  <c r="Q344" i="3"/>
  <c r="Q328" i="3"/>
  <c r="Q312" i="3"/>
  <c r="Q296" i="3"/>
  <c r="Q280" i="3"/>
  <c r="Q264" i="3"/>
  <c r="Q248" i="3"/>
  <c r="Q232" i="3"/>
  <c r="Q216" i="3"/>
  <c r="Q200" i="3"/>
  <c r="Q184" i="3"/>
  <c r="Q168" i="3"/>
  <c r="Q152" i="3"/>
  <c r="Q136" i="3"/>
  <c r="Q120" i="3"/>
  <c r="Q104" i="3"/>
  <c r="Q88" i="3"/>
  <c r="Q72" i="3"/>
  <c r="Q56" i="3"/>
  <c r="Q40" i="3"/>
  <c r="Q24" i="3"/>
  <c r="Q8" i="3"/>
  <c r="Q91" i="3"/>
  <c r="Q75" i="3"/>
  <c r="Q59" i="3"/>
  <c r="Q43" i="3"/>
  <c r="Q27" i="3"/>
  <c r="Q11" i="3"/>
  <c r="Q420" i="3"/>
  <c r="Q404" i="3"/>
  <c r="Q388" i="3"/>
  <c r="Q372" i="3"/>
  <c r="Q356" i="3"/>
  <c r="Q340" i="3"/>
  <c r="Q324" i="3"/>
  <c r="Q308" i="3"/>
  <c r="Q292" i="3"/>
  <c r="Q276" i="3"/>
  <c r="Q260" i="3"/>
  <c r="Q244" i="3"/>
  <c r="Q228" i="3"/>
  <c r="Q212" i="3"/>
  <c r="Q196" i="3"/>
  <c r="Q180" i="3"/>
  <c r="Q164" i="3"/>
  <c r="Q148" i="3"/>
  <c r="Q132" i="3"/>
  <c r="Q116" i="3"/>
  <c r="Q100" i="3"/>
  <c r="Q84" i="3"/>
  <c r="Q68" i="3"/>
  <c r="Q52" i="3"/>
  <c r="Q36" i="3"/>
  <c r="Q20" i="3"/>
  <c r="Q4" i="3"/>
  <c r="Q87" i="3"/>
  <c r="Q71" i="3"/>
  <c r="Q55" i="3"/>
  <c r="Q39" i="3"/>
  <c r="Q23" i="3"/>
  <c r="Q7" i="3"/>
  <c r="Q416" i="3"/>
  <c r="Q400" i="3"/>
  <c r="Q384" i="3"/>
  <c r="Q368" i="3"/>
  <c r="Q352" i="3"/>
  <c r="Q336" i="3"/>
  <c r="Q320" i="3"/>
  <c r="Q304" i="3"/>
  <c r="Q288" i="3"/>
  <c r="Q272" i="3"/>
  <c r="Q256" i="3"/>
  <c r="Q240" i="3"/>
  <c r="Q224" i="3"/>
  <c r="Q208" i="3"/>
  <c r="Q192" i="3"/>
  <c r="Q176" i="3"/>
  <c r="Q160" i="3"/>
  <c r="Q144" i="3"/>
  <c r="Q128" i="3"/>
  <c r="Q112" i="3"/>
  <c r="Q96" i="3"/>
  <c r="Q80" i="3"/>
  <c r="Q64" i="3"/>
  <c r="Q48" i="3"/>
  <c r="Q32" i="3"/>
  <c r="Q16" i="3"/>
  <c r="Q83" i="3"/>
  <c r="Q67" i="3"/>
  <c r="Q51" i="3"/>
  <c r="Q35" i="3"/>
  <c r="Q19" i="3"/>
  <c r="Q412" i="3"/>
  <c r="Q396" i="3"/>
  <c r="Q380" i="3"/>
  <c r="Q364" i="3"/>
  <c r="Q348" i="3"/>
  <c r="Q332" i="3"/>
  <c r="Q316" i="3"/>
  <c r="Q300" i="3"/>
  <c r="Q284" i="3"/>
  <c r="Q268" i="3"/>
  <c r="Q252" i="3"/>
  <c r="Q236" i="3"/>
  <c r="Q220" i="3"/>
  <c r="Q204" i="3"/>
  <c r="Q188" i="3"/>
  <c r="Q172" i="3"/>
  <c r="Q156" i="3"/>
  <c r="Q140" i="3"/>
  <c r="Q124" i="3"/>
  <c r="Q108" i="3"/>
  <c r="Q92" i="3"/>
  <c r="Q76" i="3"/>
  <c r="Q60" i="3"/>
  <c r="Q44" i="3"/>
  <c r="Q28" i="3"/>
  <c r="Q12" i="3"/>
  <c r="Q79" i="3"/>
  <c r="Q63" i="3"/>
  <c r="Q47" i="3"/>
  <c r="Q31" i="3"/>
  <c r="Q15" i="3"/>
  <c r="N416" i="3"/>
  <c r="N400" i="3"/>
  <c r="N384" i="3"/>
  <c r="N368" i="3"/>
  <c r="N352" i="3"/>
  <c r="N336" i="3"/>
  <c r="N320" i="3"/>
  <c r="N304" i="3"/>
  <c r="N288" i="3"/>
  <c r="N272" i="3"/>
  <c r="N256" i="3"/>
  <c r="N240" i="3"/>
  <c r="N224" i="3"/>
  <c r="N208" i="3"/>
  <c r="N415" i="3"/>
  <c r="N399" i="3"/>
  <c r="N383" i="3"/>
  <c r="N367" i="3"/>
  <c r="N351" i="3"/>
  <c r="N335" i="3"/>
  <c r="N319" i="3"/>
  <c r="N303" i="3"/>
  <c r="N287" i="3"/>
  <c r="N271" i="3"/>
  <c r="N255" i="3"/>
  <c r="N239" i="3"/>
  <c r="N223" i="3"/>
  <c r="N207" i="3"/>
  <c r="N191" i="3"/>
  <c r="N175" i="3"/>
  <c r="N159" i="3"/>
  <c r="N143" i="3"/>
  <c r="N127" i="3"/>
  <c r="N111" i="3"/>
  <c r="N95" i="3"/>
  <c r="N414" i="3"/>
  <c r="N398" i="3"/>
  <c r="N382" i="3"/>
  <c r="N366" i="3"/>
  <c r="N350" i="3"/>
  <c r="N334" i="3"/>
  <c r="N318" i="3"/>
  <c r="N302" i="3"/>
  <c r="N286" i="3"/>
  <c r="N270" i="3"/>
  <c r="N254" i="3"/>
  <c r="N238" i="3"/>
  <c r="N222" i="3"/>
  <c r="N206" i="3"/>
  <c r="N190" i="3"/>
  <c r="N174" i="3"/>
  <c r="N158" i="3"/>
  <c r="N142" i="3"/>
  <c r="N126" i="3"/>
  <c r="N110" i="3"/>
  <c r="N94" i="3"/>
  <c r="N78" i="3"/>
  <c r="N62" i="3"/>
  <c r="N46" i="3"/>
  <c r="N30" i="3"/>
  <c r="N14" i="3"/>
  <c r="N184" i="3"/>
  <c r="N168" i="3"/>
  <c r="N152" i="3"/>
  <c r="N136" i="3"/>
  <c r="N120" i="3"/>
  <c r="N104" i="3"/>
  <c r="N88" i="3"/>
  <c r="N72" i="3"/>
  <c r="N56" i="3"/>
  <c r="N40" i="3"/>
  <c r="N24" i="3"/>
  <c r="N8" i="3"/>
  <c r="N83" i="3"/>
  <c r="N67" i="3"/>
  <c r="N51" i="3"/>
  <c r="N35" i="3"/>
  <c r="N19" i="3"/>
  <c r="N417" i="3"/>
  <c r="N401" i="3"/>
  <c r="N385" i="3"/>
  <c r="N369" i="3"/>
  <c r="N353" i="3"/>
  <c r="N337" i="3"/>
  <c r="N321" i="3"/>
  <c r="N305" i="3"/>
  <c r="N289" i="3"/>
  <c r="N273" i="3"/>
  <c r="N257" i="3"/>
  <c r="N241" i="3"/>
  <c r="N225" i="3"/>
  <c r="N209" i="3"/>
  <c r="N193" i="3"/>
  <c r="N177" i="3"/>
  <c r="N161" i="3"/>
  <c r="N145" i="3"/>
  <c r="N129" i="3"/>
  <c r="N412" i="3"/>
  <c r="N396" i="3"/>
  <c r="N380" i="3"/>
  <c r="N364" i="3"/>
  <c r="N348" i="3"/>
  <c r="N332" i="3"/>
  <c r="N316" i="3"/>
  <c r="N300" i="3"/>
  <c r="N284" i="3"/>
  <c r="N268" i="3"/>
  <c r="N252" i="3"/>
  <c r="N236" i="3"/>
  <c r="N220" i="3"/>
  <c r="N204" i="3"/>
  <c r="N411" i="3"/>
  <c r="N395" i="3"/>
  <c r="N379" i="3"/>
  <c r="N363" i="3"/>
  <c r="N347" i="3"/>
  <c r="N331" i="3"/>
  <c r="N315" i="3"/>
  <c r="N299" i="3"/>
  <c r="N283" i="3"/>
  <c r="N267" i="3"/>
  <c r="N251" i="3"/>
  <c r="N235" i="3"/>
  <c r="N219" i="3"/>
  <c r="N203" i="3"/>
  <c r="N187" i="3"/>
  <c r="N171" i="3"/>
  <c r="N155" i="3"/>
  <c r="N139" i="3"/>
  <c r="N123" i="3"/>
  <c r="N107" i="3"/>
  <c r="N91" i="3"/>
  <c r="N410" i="3"/>
  <c r="N394" i="3"/>
  <c r="N378" i="3"/>
  <c r="N362" i="3"/>
  <c r="N346" i="3"/>
  <c r="N330" i="3"/>
  <c r="N314" i="3"/>
  <c r="N298" i="3"/>
  <c r="N282" i="3"/>
  <c r="N266" i="3"/>
  <c r="N250" i="3"/>
  <c r="N234" i="3"/>
  <c r="N218" i="3"/>
  <c r="N202" i="3"/>
  <c r="N186" i="3"/>
  <c r="N170" i="3"/>
  <c r="N154" i="3"/>
  <c r="N138" i="3"/>
  <c r="N122" i="3"/>
  <c r="N106" i="3"/>
  <c r="N90" i="3"/>
  <c r="N74" i="3"/>
  <c r="N58" i="3"/>
  <c r="N42" i="3"/>
  <c r="N26" i="3"/>
  <c r="N10" i="3"/>
  <c r="N180" i="3"/>
  <c r="N164" i="3"/>
  <c r="N148" i="3"/>
  <c r="N132" i="3"/>
  <c r="N116" i="3"/>
  <c r="N100" i="3"/>
  <c r="N84" i="3"/>
  <c r="N68" i="3"/>
  <c r="N52" i="3"/>
  <c r="N36" i="3"/>
  <c r="N20" i="3"/>
  <c r="N4" i="3"/>
  <c r="N79" i="3"/>
  <c r="N63" i="3"/>
  <c r="N47" i="3"/>
  <c r="N31" i="3"/>
  <c r="N15" i="3"/>
  <c r="N424" i="3"/>
  <c r="N408" i="3"/>
  <c r="N392" i="3"/>
  <c r="N376" i="3"/>
  <c r="N360" i="3"/>
  <c r="N344" i="3"/>
  <c r="N328" i="3"/>
  <c r="N312" i="3"/>
  <c r="N296" i="3"/>
  <c r="N280" i="3"/>
  <c r="N264" i="3"/>
  <c r="N248" i="3"/>
  <c r="N232" i="3"/>
  <c r="N216" i="3"/>
  <c r="N200" i="3"/>
  <c r="N423" i="3"/>
  <c r="N407" i="3"/>
  <c r="N391" i="3"/>
  <c r="N375" i="3"/>
  <c r="N359" i="3"/>
  <c r="N343" i="3"/>
  <c r="N327" i="3"/>
  <c r="N311" i="3"/>
  <c r="N295" i="3"/>
  <c r="N279" i="3"/>
  <c r="N263" i="3"/>
  <c r="N247" i="3"/>
  <c r="N231" i="3"/>
  <c r="N215" i="3"/>
  <c r="N199" i="3"/>
  <c r="N183" i="3"/>
  <c r="N167" i="3"/>
  <c r="N151" i="3"/>
  <c r="N135" i="3"/>
  <c r="N119" i="3"/>
  <c r="N103" i="3"/>
  <c r="N422" i="3"/>
  <c r="N406" i="3"/>
  <c r="N390" i="3"/>
  <c r="N374" i="3"/>
  <c r="N358" i="3"/>
  <c r="N342" i="3"/>
  <c r="N326" i="3"/>
  <c r="N310" i="3"/>
  <c r="N294" i="3"/>
  <c r="N278" i="3"/>
  <c r="N262" i="3"/>
  <c r="N246" i="3"/>
  <c r="N230" i="3"/>
  <c r="N214" i="3"/>
  <c r="N198" i="3"/>
  <c r="N182" i="3"/>
  <c r="N166" i="3"/>
  <c r="N150" i="3"/>
  <c r="N134" i="3"/>
  <c r="N118" i="3"/>
  <c r="N102" i="3"/>
  <c r="N86" i="3"/>
  <c r="N70" i="3"/>
  <c r="N54" i="3"/>
  <c r="N38" i="3"/>
  <c r="N22" i="3"/>
  <c r="N6" i="3"/>
  <c r="N192" i="3"/>
  <c r="N176" i="3"/>
  <c r="N160" i="3"/>
  <c r="N144" i="3"/>
  <c r="N128" i="3"/>
  <c r="N112" i="3"/>
  <c r="N96" i="3"/>
  <c r="N80" i="3"/>
  <c r="N64" i="3"/>
  <c r="N48" i="3"/>
  <c r="N32" i="3"/>
  <c r="N16" i="3"/>
  <c r="N75" i="3"/>
  <c r="N59" i="3"/>
  <c r="N43" i="3"/>
  <c r="N27" i="3"/>
  <c r="N11" i="3"/>
  <c r="N409" i="3"/>
  <c r="N393" i="3"/>
  <c r="N377" i="3"/>
  <c r="N361" i="3"/>
  <c r="N345" i="3"/>
  <c r="N329" i="3"/>
  <c r="N313" i="3"/>
  <c r="N297" i="3"/>
  <c r="N281" i="3"/>
  <c r="N265" i="3"/>
  <c r="N249" i="3"/>
  <c r="N233" i="3"/>
  <c r="N217" i="3"/>
  <c r="N201" i="3"/>
  <c r="N185" i="3"/>
  <c r="N420" i="3"/>
  <c r="N404" i="3"/>
  <c r="N388" i="3"/>
  <c r="N372" i="3"/>
  <c r="N356" i="3"/>
  <c r="N340" i="3"/>
  <c r="N324" i="3"/>
  <c r="N308" i="3"/>
  <c r="N292" i="3"/>
  <c r="N276" i="3"/>
  <c r="N260" i="3"/>
  <c r="N244" i="3"/>
  <c r="N228" i="3"/>
  <c r="N212" i="3"/>
  <c r="N196" i="3"/>
  <c r="N419" i="3"/>
  <c r="N403" i="3"/>
  <c r="N387" i="3"/>
  <c r="N371" i="3"/>
  <c r="N355" i="3"/>
  <c r="N339" i="3"/>
  <c r="N323" i="3"/>
  <c r="N307" i="3"/>
  <c r="N291" i="3"/>
  <c r="N275" i="3"/>
  <c r="N259" i="3"/>
  <c r="N243" i="3"/>
  <c r="N227" i="3"/>
  <c r="N211" i="3"/>
  <c r="N195" i="3"/>
  <c r="N179" i="3"/>
  <c r="N163" i="3"/>
  <c r="N147" i="3"/>
  <c r="N131" i="3"/>
  <c r="N115" i="3"/>
  <c r="N99" i="3"/>
  <c r="N418" i="3"/>
  <c r="N402" i="3"/>
  <c r="N386" i="3"/>
  <c r="N370" i="3"/>
  <c r="N354" i="3"/>
  <c r="N338" i="3"/>
  <c r="N322" i="3"/>
  <c r="N306" i="3"/>
  <c r="N290" i="3"/>
  <c r="N274" i="3"/>
  <c r="N258" i="3"/>
  <c r="N242" i="3"/>
  <c r="N226" i="3"/>
  <c r="N210" i="3"/>
  <c r="N194" i="3"/>
  <c r="N178" i="3"/>
  <c r="N162" i="3"/>
  <c r="N146" i="3"/>
  <c r="N130" i="3"/>
  <c r="N114" i="3"/>
  <c r="N98" i="3"/>
  <c r="N82" i="3"/>
  <c r="N66" i="3"/>
  <c r="N50" i="3"/>
  <c r="N34" i="3"/>
  <c r="N18" i="3"/>
  <c r="N188" i="3"/>
  <c r="N172" i="3"/>
  <c r="N156" i="3"/>
  <c r="N140" i="3"/>
  <c r="N124" i="3"/>
  <c r="N108" i="3"/>
  <c r="N92" i="3"/>
  <c r="N76" i="3"/>
  <c r="N60" i="3"/>
  <c r="N44" i="3"/>
  <c r="N28" i="3"/>
  <c r="N12" i="3"/>
  <c r="N87" i="3"/>
  <c r="N71" i="3"/>
  <c r="N55" i="3"/>
  <c r="N39" i="3"/>
  <c r="N23" i="3"/>
  <c r="N7" i="3"/>
  <c r="N413" i="3"/>
  <c r="N381" i="3"/>
  <c r="N349" i="3"/>
  <c r="N317" i="3"/>
  <c r="N285" i="3"/>
  <c r="N253" i="3"/>
  <c r="N221" i="3"/>
  <c r="N189" i="3"/>
  <c r="N165" i="3"/>
  <c r="N141" i="3"/>
  <c r="N121" i="3"/>
  <c r="N105" i="3"/>
  <c r="N89" i="3"/>
  <c r="N73" i="3"/>
  <c r="N57" i="3"/>
  <c r="N41" i="3"/>
  <c r="N25" i="3"/>
  <c r="N9" i="3"/>
  <c r="N405" i="3"/>
  <c r="N373" i="3"/>
  <c r="N341" i="3"/>
  <c r="N309" i="3"/>
  <c r="N277" i="3"/>
  <c r="N245" i="3"/>
  <c r="N213" i="3"/>
  <c r="N181" i="3"/>
  <c r="N157" i="3"/>
  <c r="N137" i="3"/>
  <c r="N117" i="3"/>
  <c r="N101" i="3"/>
  <c r="N85" i="3"/>
  <c r="N69" i="3"/>
  <c r="N53" i="3"/>
  <c r="N37" i="3"/>
  <c r="N21" i="3"/>
  <c r="N5" i="3"/>
  <c r="N397" i="3"/>
  <c r="N365" i="3"/>
  <c r="N333" i="3"/>
  <c r="N301" i="3"/>
  <c r="N269" i="3"/>
  <c r="N237" i="3"/>
  <c r="N205" i="3"/>
  <c r="N173" i="3"/>
  <c r="N153" i="3"/>
  <c r="N133" i="3"/>
  <c r="N113" i="3"/>
  <c r="N97" i="3"/>
  <c r="N81" i="3"/>
  <c r="N65" i="3"/>
  <c r="N49" i="3"/>
  <c r="N33" i="3"/>
  <c r="N17" i="3"/>
  <c r="N421" i="3"/>
  <c r="N389" i="3"/>
  <c r="N357" i="3"/>
  <c r="N325" i="3"/>
  <c r="N293" i="3"/>
  <c r="N261" i="3"/>
  <c r="N229" i="3"/>
  <c r="N197" i="3"/>
  <c r="N169" i="3"/>
  <c r="N149" i="3"/>
  <c r="N125" i="3"/>
  <c r="N109" i="3"/>
  <c r="N93" i="3"/>
  <c r="N77" i="3"/>
  <c r="N61" i="3"/>
  <c r="N45" i="3"/>
  <c r="N29" i="3"/>
  <c r="N13" i="3"/>
  <c r="U106" i="3"/>
  <c r="U170" i="3"/>
  <c r="C169" i="5" s="1"/>
  <c r="U298" i="3"/>
  <c r="U362" i="3"/>
  <c r="C361" i="5" s="1"/>
  <c r="U151" i="3"/>
  <c r="U275" i="3"/>
  <c r="C274" i="5" s="1"/>
  <c r="U391" i="3"/>
  <c r="U47" i="3"/>
  <c r="U179" i="3"/>
  <c r="U311" i="3"/>
  <c r="U4" i="3"/>
  <c r="U68" i="3"/>
  <c r="U132" i="3"/>
  <c r="U260" i="3"/>
  <c r="U324" i="3"/>
  <c r="U53" i="3"/>
  <c r="U117" i="3"/>
  <c r="U181" i="3"/>
  <c r="U245" i="3"/>
  <c r="U309" i="3"/>
  <c r="U373" i="3"/>
  <c r="U94" i="3"/>
  <c r="U158" i="3"/>
  <c r="U286" i="3"/>
  <c r="C285" i="5" s="1"/>
  <c r="U127" i="3"/>
  <c r="U251" i="3"/>
  <c r="U375" i="3"/>
  <c r="U155" i="3"/>
  <c r="C154" i="5" s="1"/>
  <c r="U287" i="3"/>
  <c r="U56" i="3"/>
  <c r="U120" i="3"/>
  <c r="U184" i="3"/>
  <c r="C183" i="5" s="1"/>
  <c r="U312" i="3"/>
  <c r="U376" i="3"/>
  <c r="U105" i="3"/>
  <c r="U169" i="3"/>
  <c r="C168" i="5" s="1"/>
  <c r="U233" i="3"/>
  <c r="U297" i="3"/>
  <c r="U361" i="3"/>
  <c r="U18" i="3"/>
  <c r="U146" i="3"/>
  <c r="U210" i="3"/>
  <c r="C209" i="5" s="1"/>
  <c r="U274" i="3"/>
  <c r="U338" i="3"/>
  <c r="C337" i="5" s="1"/>
  <c r="U75" i="3"/>
  <c r="U195" i="3"/>
  <c r="C194" i="5" s="1"/>
  <c r="U319" i="3"/>
  <c r="U415" i="3"/>
  <c r="C414" i="5" s="1"/>
  <c r="U95" i="3"/>
  <c r="U363" i="3"/>
  <c r="C315" i="5" s="1"/>
  <c r="U44" i="3"/>
  <c r="U172" i="3"/>
  <c r="C171" i="5" s="1"/>
  <c r="U236" i="3"/>
  <c r="U300" i="3"/>
  <c r="U93" i="3"/>
  <c r="U157" i="3"/>
  <c r="C156" i="5" s="1"/>
  <c r="U285" i="3"/>
  <c r="U349" i="3"/>
  <c r="U413" i="3"/>
  <c r="C412" i="5" s="1"/>
  <c r="U54" i="3"/>
  <c r="U118" i="3"/>
  <c r="U182" i="3"/>
  <c r="C181" i="5" s="1"/>
  <c r="U246" i="3"/>
  <c r="U310" i="3"/>
  <c r="U374" i="3"/>
  <c r="U19" i="3"/>
  <c r="C18" i="5" s="1"/>
  <c r="U143" i="3"/>
  <c r="U267" i="3"/>
  <c r="C266" i="5" s="1"/>
  <c r="U387" i="3"/>
  <c r="U171" i="3"/>
  <c r="C170" i="5" s="1"/>
  <c r="U16" i="3"/>
  <c r="U80" i="3"/>
  <c r="U144" i="3"/>
  <c r="U208" i="3"/>
  <c r="U272" i="3"/>
  <c r="U336" i="3"/>
  <c r="C335" i="5" s="1"/>
  <c r="U424" i="3"/>
  <c r="C423" i="5" s="1"/>
  <c r="U65" i="3"/>
  <c r="U129" i="3"/>
  <c r="U193" i="3"/>
  <c r="C192" i="5" s="1"/>
  <c r="U257" i="3"/>
  <c r="U321" i="3"/>
  <c r="U385" i="3"/>
  <c r="R25" i="3"/>
  <c r="R89" i="3"/>
  <c r="R15" i="3"/>
  <c r="R79" i="3"/>
  <c r="R143" i="3"/>
  <c r="R207" i="3"/>
  <c r="R271" i="3"/>
  <c r="R335" i="3"/>
  <c r="R52" i="3"/>
  <c r="R116" i="3"/>
  <c r="R180" i="3"/>
  <c r="R244" i="3"/>
  <c r="R308" i="3"/>
  <c r="R372" i="3"/>
  <c r="R145" i="3"/>
  <c r="R273" i="3"/>
  <c r="R337" i="3"/>
  <c r="R401" i="3"/>
  <c r="R182" i="3"/>
  <c r="R13" i="3"/>
  <c r="R77" i="3"/>
  <c r="R141" i="3"/>
  <c r="R67" i="3"/>
  <c r="R131" i="3"/>
  <c r="R195" i="3"/>
  <c r="R259" i="3"/>
  <c r="R323" i="3"/>
  <c r="R40" i="3"/>
  <c r="R104" i="3"/>
  <c r="R168" i="3"/>
  <c r="R232" i="3"/>
  <c r="R296" i="3"/>
  <c r="R360" i="3"/>
  <c r="R424" i="3"/>
  <c r="R197" i="3"/>
  <c r="R261" i="3"/>
  <c r="R325" i="3"/>
  <c r="R389" i="3"/>
  <c r="R49" i="3"/>
  <c r="R113" i="3"/>
  <c r="R39" i="3"/>
  <c r="R103" i="3"/>
  <c r="R167" i="3"/>
  <c r="R295" i="3"/>
  <c r="R28" i="3"/>
  <c r="R92" i="3"/>
  <c r="R156" i="3"/>
  <c r="R220" i="3"/>
  <c r="R284" i="3"/>
  <c r="R348" i="3"/>
  <c r="R412" i="3"/>
  <c r="R201" i="3"/>
  <c r="R265" i="3"/>
  <c r="R329" i="3"/>
  <c r="R150" i="3"/>
  <c r="R406" i="3"/>
  <c r="R53" i="3"/>
  <c r="R117" i="3"/>
  <c r="R43" i="3"/>
  <c r="R107" i="3"/>
  <c r="R171" i="3"/>
  <c r="R235" i="3"/>
  <c r="R32" i="3"/>
  <c r="R96" i="3"/>
  <c r="R160" i="3"/>
  <c r="R224" i="3"/>
  <c r="R288" i="3"/>
  <c r="R352" i="3"/>
  <c r="R416" i="3"/>
  <c r="R205" i="3"/>
  <c r="R269" i="3"/>
  <c r="R333" i="3"/>
  <c r="R397" i="3"/>
  <c r="R166" i="3"/>
  <c r="R422" i="3"/>
  <c r="R395" i="3"/>
  <c r="R42" i="3"/>
  <c r="R106" i="3"/>
  <c r="R170" i="3"/>
  <c r="R234" i="3"/>
  <c r="R298" i="3"/>
  <c r="R362" i="3"/>
  <c r="R351" i="3"/>
  <c r="R415" i="3"/>
  <c r="R62" i="3"/>
  <c r="R190" i="3"/>
  <c r="R254" i="3"/>
  <c r="R318" i="3"/>
  <c r="R382" i="3"/>
  <c r="R18" i="3"/>
  <c r="R82" i="3"/>
  <c r="R146" i="3"/>
  <c r="R210" i="3"/>
  <c r="R274" i="3"/>
  <c r="R338" i="3"/>
  <c r="R402" i="3"/>
  <c r="R375" i="3"/>
  <c r="P418" i="3"/>
  <c r="P402" i="3"/>
  <c r="P386" i="3"/>
  <c r="P370" i="3"/>
  <c r="P354" i="3"/>
  <c r="P338" i="3"/>
  <c r="P322" i="3"/>
  <c r="P306" i="3"/>
  <c r="P290" i="3"/>
  <c r="P274" i="3"/>
  <c r="P258" i="3"/>
  <c r="P242" i="3"/>
  <c r="P226" i="3"/>
  <c r="P210" i="3"/>
  <c r="P194" i="3"/>
  <c r="P178" i="3"/>
  <c r="P162" i="3"/>
  <c r="P146" i="3"/>
  <c r="P130" i="3"/>
  <c r="P114" i="3"/>
  <c r="P98" i="3"/>
  <c r="P82" i="3"/>
  <c r="P66" i="3"/>
  <c r="P50" i="3"/>
  <c r="P34" i="3"/>
  <c r="P18" i="3"/>
  <c r="P413" i="3"/>
  <c r="P397" i="3"/>
  <c r="P381" i="3"/>
  <c r="P365" i="3"/>
  <c r="P349" i="3"/>
  <c r="P333" i="3"/>
  <c r="P317" i="3"/>
  <c r="P301" i="3"/>
  <c r="P285" i="3"/>
  <c r="P269" i="3"/>
  <c r="P253" i="3"/>
  <c r="P237" i="3"/>
  <c r="P221" i="3"/>
  <c r="P205" i="3"/>
  <c r="P189" i="3"/>
  <c r="P173" i="3"/>
  <c r="P157" i="3"/>
  <c r="P141" i="3"/>
  <c r="P125" i="3"/>
  <c r="P109" i="3"/>
  <c r="P93" i="3"/>
  <c r="P77" i="3"/>
  <c r="P61" i="3"/>
  <c r="P45" i="3"/>
  <c r="P29" i="3"/>
  <c r="P13" i="3"/>
  <c r="P424" i="3"/>
  <c r="P408" i="3"/>
  <c r="P392" i="3"/>
  <c r="P376" i="3"/>
  <c r="P360" i="3"/>
  <c r="P344" i="3"/>
  <c r="P328" i="3"/>
  <c r="P312" i="3"/>
  <c r="P296" i="3"/>
  <c r="P280" i="3"/>
  <c r="P264" i="3"/>
  <c r="P248" i="3"/>
  <c r="P232" i="3"/>
  <c r="P216" i="3"/>
  <c r="P200" i="3"/>
  <c r="P184" i="3"/>
  <c r="P168" i="3"/>
  <c r="P152" i="3"/>
  <c r="P136" i="3"/>
  <c r="P120" i="3"/>
  <c r="P104" i="3"/>
  <c r="P88" i="3"/>
  <c r="P72" i="3"/>
  <c r="P56" i="3"/>
  <c r="P40" i="3"/>
  <c r="P24" i="3"/>
  <c r="P8" i="3"/>
  <c r="P414" i="3"/>
  <c r="P398" i="3"/>
  <c r="P382" i="3"/>
  <c r="P366" i="3"/>
  <c r="P350" i="3"/>
  <c r="P334" i="3"/>
  <c r="P318" i="3"/>
  <c r="P302" i="3"/>
  <c r="P286" i="3"/>
  <c r="P270" i="3"/>
  <c r="P254" i="3"/>
  <c r="P238" i="3"/>
  <c r="P222" i="3"/>
  <c r="P206" i="3"/>
  <c r="P190" i="3"/>
  <c r="P174" i="3"/>
  <c r="P158" i="3"/>
  <c r="P142" i="3"/>
  <c r="P126" i="3"/>
  <c r="P110" i="3"/>
  <c r="P94" i="3"/>
  <c r="P78" i="3"/>
  <c r="P62" i="3"/>
  <c r="P46" i="3"/>
  <c r="P30" i="3"/>
  <c r="P14" i="3"/>
  <c r="P409" i="3"/>
  <c r="P393" i="3"/>
  <c r="P377" i="3"/>
  <c r="P361" i="3"/>
  <c r="P345" i="3"/>
  <c r="P329" i="3"/>
  <c r="P313" i="3"/>
  <c r="P297" i="3"/>
  <c r="P281" i="3"/>
  <c r="P265" i="3"/>
  <c r="P249" i="3"/>
  <c r="P233" i="3"/>
  <c r="P217" i="3"/>
  <c r="P201" i="3"/>
  <c r="P185" i="3"/>
  <c r="P169" i="3"/>
  <c r="P153" i="3"/>
  <c r="P137" i="3"/>
  <c r="P121" i="3"/>
  <c r="P105" i="3"/>
  <c r="P89" i="3"/>
  <c r="P73" i="3"/>
  <c r="P57" i="3"/>
  <c r="P41" i="3"/>
  <c r="P25" i="3"/>
  <c r="P9" i="3"/>
  <c r="P420" i="3"/>
  <c r="P404" i="3"/>
  <c r="P388" i="3"/>
  <c r="P372" i="3"/>
  <c r="P356" i="3"/>
  <c r="P340" i="3"/>
  <c r="P324" i="3"/>
  <c r="P308" i="3"/>
  <c r="P292" i="3"/>
  <c r="P276" i="3"/>
  <c r="P260" i="3"/>
  <c r="P244" i="3"/>
  <c r="P228" i="3"/>
  <c r="P212" i="3"/>
  <c r="P196" i="3"/>
  <c r="P180" i="3"/>
  <c r="P164" i="3"/>
  <c r="P148" i="3"/>
  <c r="P132" i="3"/>
  <c r="P116" i="3"/>
  <c r="P100" i="3"/>
  <c r="P84" i="3"/>
  <c r="P68" i="3"/>
  <c r="P52" i="3"/>
  <c r="P36" i="3"/>
  <c r="P20" i="3"/>
  <c r="P4" i="3"/>
  <c r="P410" i="3"/>
  <c r="P394" i="3"/>
  <c r="P378" i="3"/>
  <c r="P362" i="3"/>
  <c r="P346" i="3"/>
  <c r="P330" i="3"/>
  <c r="P314" i="3"/>
  <c r="P298" i="3"/>
  <c r="P282" i="3"/>
  <c r="P266" i="3"/>
  <c r="P250" i="3"/>
  <c r="P234" i="3"/>
  <c r="P218" i="3"/>
  <c r="P202" i="3"/>
  <c r="P186" i="3"/>
  <c r="P170" i="3"/>
  <c r="P154" i="3"/>
  <c r="P138" i="3"/>
  <c r="P122" i="3"/>
  <c r="P106" i="3"/>
  <c r="P90" i="3"/>
  <c r="P74" i="3"/>
  <c r="P58" i="3"/>
  <c r="P42" i="3"/>
  <c r="P26" i="3"/>
  <c r="P10" i="3"/>
  <c r="P421" i="3"/>
  <c r="P405" i="3"/>
  <c r="P389" i="3"/>
  <c r="P373" i="3"/>
  <c r="P357" i="3"/>
  <c r="P341" i="3"/>
  <c r="P325" i="3"/>
  <c r="P309" i="3"/>
  <c r="P293" i="3"/>
  <c r="P277" i="3"/>
  <c r="P261" i="3"/>
  <c r="P245" i="3"/>
  <c r="P229" i="3"/>
  <c r="P213" i="3"/>
  <c r="P197" i="3"/>
  <c r="P181" i="3"/>
  <c r="P165" i="3"/>
  <c r="P149" i="3"/>
  <c r="P133" i="3"/>
  <c r="P117" i="3"/>
  <c r="P101" i="3"/>
  <c r="P85" i="3"/>
  <c r="P69" i="3"/>
  <c r="P53" i="3"/>
  <c r="P37" i="3"/>
  <c r="P21" i="3"/>
  <c r="P5" i="3"/>
  <c r="P416" i="3"/>
  <c r="P400" i="3"/>
  <c r="P384" i="3"/>
  <c r="P368" i="3"/>
  <c r="P352" i="3"/>
  <c r="P336" i="3"/>
  <c r="P320" i="3"/>
  <c r="P304" i="3"/>
  <c r="P288" i="3"/>
  <c r="P272" i="3"/>
  <c r="P256" i="3"/>
  <c r="P240" i="3"/>
  <c r="P224" i="3"/>
  <c r="P208" i="3"/>
  <c r="P192" i="3"/>
  <c r="P176" i="3"/>
  <c r="P160" i="3"/>
  <c r="P144" i="3"/>
  <c r="P128" i="3"/>
  <c r="P112" i="3"/>
  <c r="P96" i="3"/>
  <c r="P80" i="3"/>
  <c r="P64" i="3"/>
  <c r="P48" i="3"/>
  <c r="P32" i="3"/>
  <c r="P16" i="3"/>
  <c r="P422" i="3"/>
  <c r="P406" i="3"/>
  <c r="P390" i="3"/>
  <c r="P374" i="3"/>
  <c r="P358" i="3"/>
  <c r="P342" i="3"/>
  <c r="P326" i="3"/>
  <c r="P310" i="3"/>
  <c r="P294" i="3"/>
  <c r="P278" i="3"/>
  <c r="P262" i="3"/>
  <c r="P246" i="3"/>
  <c r="P230" i="3"/>
  <c r="P214" i="3"/>
  <c r="P198" i="3"/>
  <c r="P182" i="3"/>
  <c r="P166" i="3"/>
  <c r="P150" i="3"/>
  <c r="P134" i="3"/>
  <c r="P118" i="3"/>
  <c r="P102" i="3"/>
  <c r="P86" i="3"/>
  <c r="P70" i="3"/>
  <c r="P54" i="3"/>
  <c r="P38" i="3"/>
  <c r="P22" i="3"/>
  <c r="P6" i="3"/>
  <c r="P417" i="3"/>
  <c r="P401" i="3"/>
  <c r="P385" i="3"/>
  <c r="P369" i="3"/>
  <c r="P353" i="3"/>
  <c r="P337" i="3"/>
  <c r="P321" i="3"/>
  <c r="P305" i="3"/>
  <c r="P289" i="3"/>
  <c r="P273" i="3"/>
  <c r="P257" i="3"/>
  <c r="P241" i="3"/>
  <c r="P225" i="3"/>
  <c r="P209" i="3"/>
  <c r="P193" i="3"/>
  <c r="P177" i="3"/>
  <c r="P161" i="3"/>
  <c r="P145" i="3"/>
  <c r="P129" i="3"/>
  <c r="P113" i="3"/>
  <c r="P97" i="3"/>
  <c r="P81" i="3"/>
  <c r="P65" i="3"/>
  <c r="P49" i="3"/>
  <c r="P33" i="3"/>
  <c r="P17" i="3"/>
  <c r="P412" i="3"/>
  <c r="P396" i="3"/>
  <c r="P380" i="3"/>
  <c r="P364" i="3"/>
  <c r="P348" i="3"/>
  <c r="P332" i="3"/>
  <c r="P316" i="3"/>
  <c r="P300" i="3"/>
  <c r="P284" i="3"/>
  <c r="P268" i="3"/>
  <c r="P252" i="3"/>
  <c r="P236" i="3"/>
  <c r="P220" i="3"/>
  <c r="P204" i="3"/>
  <c r="P188" i="3"/>
  <c r="P172" i="3"/>
  <c r="P156" i="3"/>
  <c r="P140" i="3"/>
  <c r="P124" i="3"/>
  <c r="P108" i="3"/>
  <c r="P92" i="3"/>
  <c r="P76" i="3"/>
  <c r="P60" i="3"/>
  <c r="P44" i="3"/>
  <c r="P28" i="3"/>
  <c r="P12" i="3"/>
  <c r="P419" i="3"/>
  <c r="P403" i="3"/>
  <c r="P387" i="3"/>
  <c r="P371" i="3"/>
  <c r="P355" i="3"/>
  <c r="P339" i="3"/>
  <c r="P323" i="3"/>
  <c r="P307" i="3"/>
  <c r="P291" i="3"/>
  <c r="P275" i="3"/>
  <c r="P259" i="3"/>
  <c r="P243" i="3"/>
  <c r="P227" i="3"/>
  <c r="P211" i="3"/>
  <c r="P195" i="3"/>
  <c r="P179" i="3"/>
  <c r="P163" i="3"/>
  <c r="P147" i="3"/>
  <c r="P131" i="3"/>
  <c r="P115" i="3"/>
  <c r="P99" i="3"/>
  <c r="P83" i="3"/>
  <c r="P67" i="3"/>
  <c r="P51" i="3"/>
  <c r="P35" i="3"/>
  <c r="P19" i="3"/>
  <c r="P415" i="3"/>
  <c r="P399" i="3"/>
  <c r="P383" i="3"/>
  <c r="P367" i="3"/>
  <c r="P351" i="3"/>
  <c r="P335" i="3"/>
  <c r="P319" i="3"/>
  <c r="P303" i="3"/>
  <c r="P287" i="3"/>
  <c r="P271" i="3"/>
  <c r="P255" i="3"/>
  <c r="P239" i="3"/>
  <c r="P223" i="3"/>
  <c r="P207" i="3"/>
  <c r="P191" i="3"/>
  <c r="P175" i="3"/>
  <c r="P159" i="3"/>
  <c r="P143" i="3"/>
  <c r="P127" i="3"/>
  <c r="P111" i="3"/>
  <c r="P95" i="3"/>
  <c r="P79" i="3"/>
  <c r="P63" i="3"/>
  <c r="P47" i="3"/>
  <c r="P31" i="3"/>
  <c r="P15" i="3"/>
  <c r="P411" i="3"/>
  <c r="P395" i="3"/>
  <c r="P379" i="3"/>
  <c r="P363" i="3"/>
  <c r="P347" i="3"/>
  <c r="P331" i="3"/>
  <c r="P315" i="3"/>
  <c r="P299" i="3"/>
  <c r="P283" i="3"/>
  <c r="P267" i="3"/>
  <c r="P251" i="3"/>
  <c r="P235" i="3"/>
  <c r="P219" i="3"/>
  <c r="P203" i="3"/>
  <c r="P187" i="3"/>
  <c r="P171" i="3"/>
  <c r="P155" i="3"/>
  <c r="P139" i="3"/>
  <c r="P123" i="3"/>
  <c r="P107" i="3"/>
  <c r="P91" i="3"/>
  <c r="P75" i="3"/>
  <c r="P59" i="3"/>
  <c r="P43" i="3"/>
  <c r="P27" i="3"/>
  <c r="P11" i="3"/>
  <c r="P423" i="3"/>
  <c r="P407" i="3"/>
  <c r="P391" i="3"/>
  <c r="P375" i="3"/>
  <c r="P359" i="3"/>
  <c r="P343" i="3"/>
  <c r="P327" i="3"/>
  <c r="P311" i="3"/>
  <c r="P295" i="3"/>
  <c r="P279" i="3"/>
  <c r="P263" i="3"/>
  <c r="P247" i="3"/>
  <c r="P231" i="3"/>
  <c r="P215" i="3"/>
  <c r="P199" i="3"/>
  <c r="P183" i="3"/>
  <c r="P167" i="3"/>
  <c r="P151" i="3"/>
  <c r="P135" i="3"/>
  <c r="P119" i="3"/>
  <c r="P103" i="3"/>
  <c r="P87" i="3"/>
  <c r="P71" i="3"/>
  <c r="P55" i="3"/>
  <c r="P39" i="3"/>
  <c r="P23" i="3"/>
  <c r="P7" i="3"/>
  <c r="U122" i="3"/>
  <c r="C121" i="5" s="1"/>
  <c r="U186" i="3"/>
  <c r="U250" i="3"/>
  <c r="C249" i="5" s="1"/>
  <c r="U314" i="3"/>
  <c r="U378" i="3"/>
  <c r="U59" i="3"/>
  <c r="U183" i="3"/>
  <c r="C182" i="5" s="1"/>
  <c r="U307" i="3"/>
  <c r="U407" i="3"/>
  <c r="C406" i="5" s="1"/>
  <c r="U79" i="3"/>
  <c r="U211" i="3"/>
  <c r="C210" i="5" s="1"/>
  <c r="U347" i="3"/>
  <c r="U84" i="3"/>
  <c r="U148" i="3"/>
  <c r="U276" i="3"/>
  <c r="C275" i="5" s="1"/>
  <c r="U5" i="3"/>
  <c r="U69" i="3"/>
  <c r="U133" i="3"/>
  <c r="U197" i="3"/>
  <c r="C196" i="5" s="1"/>
  <c r="U261" i="3"/>
  <c r="U389" i="3"/>
  <c r="U46" i="3"/>
  <c r="U110" i="3"/>
  <c r="U174" i="3"/>
  <c r="U159" i="3"/>
  <c r="C158" i="5" s="1"/>
  <c r="U283" i="3"/>
  <c r="U55" i="3"/>
  <c r="U191" i="3"/>
  <c r="U323" i="3"/>
  <c r="U8" i="3"/>
  <c r="U72" i="3"/>
  <c r="U200" i="3"/>
  <c r="U264" i="3"/>
  <c r="C263" i="5" s="1"/>
  <c r="U328" i="3"/>
  <c r="U57" i="3"/>
  <c r="U121" i="3"/>
  <c r="U249" i="3"/>
  <c r="C248" i="5" s="1"/>
  <c r="U313" i="3"/>
  <c r="U377" i="3"/>
  <c r="C376" i="5" s="1"/>
  <c r="U98" i="3"/>
  <c r="U162" i="3"/>
  <c r="U354" i="3"/>
  <c r="U107" i="3"/>
  <c r="U351" i="3"/>
  <c r="U416" i="3"/>
  <c r="C415" i="5" s="1"/>
  <c r="U131" i="3"/>
  <c r="U263" i="3"/>
  <c r="C262" i="5" s="1"/>
  <c r="U60" i="3"/>
  <c r="U124" i="3"/>
  <c r="U188" i="3"/>
  <c r="U252" i="3"/>
  <c r="C251" i="5" s="1"/>
  <c r="U380" i="3"/>
  <c r="U45" i="3"/>
  <c r="U173" i="3"/>
  <c r="U237" i="3"/>
  <c r="C236" i="5" s="1"/>
  <c r="U6" i="3"/>
  <c r="U70" i="3"/>
  <c r="U134" i="3"/>
  <c r="U198" i="3"/>
  <c r="C197" i="5" s="1"/>
  <c r="U262" i="3"/>
  <c r="U51" i="3"/>
  <c r="U175" i="3"/>
  <c r="U299" i="3"/>
  <c r="C385" i="5" s="1"/>
  <c r="U403" i="3"/>
  <c r="C402" i="5" s="1"/>
  <c r="U71" i="3"/>
  <c r="U203" i="3"/>
  <c r="U339" i="3"/>
  <c r="U96" i="3"/>
  <c r="U160" i="3"/>
  <c r="C159" i="5" s="1"/>
  <c r="U288" i="3"/>
  <c r="U352" i="3"/>
  <c r="U17" i="3"/>
  <c r="U81" i="3"/>
  <c r="U145" i="3"/>
  <c r="U209" i="3"/>
  <c r="C208" i="5" s="1"/>
  <c r="U273" i="3"/>
  <c r="U337" i="3"/>
  <c r="U401" i="3"/>
  <c r="C400" i="5" s="1"/>
  <c r="R41" i="3"/>
  <c r="R105" i="3"/>
  <c r="R31" i="3"/>
  <c r="R95" i="3"/>
  <c r="R159" i="3"/>
  <c r="R223" i="3"/>
  <c r="R287" i="3"/>
  <c r="R4" i="3"/>
  <c r="R68" i="3"/>
  <c r="R132" i="3"/>
  <c r="R196" i="3"/>
  <c r="R260" i="3"/>
  <c r="R324" i="3"/>
  <c r="R388" i="3"/>
  <c r="R161" i="3"/>
  <c r="R225" i="3"/>
  <c r="R289" i="3"/>
  <c r="R353" i="3"/>
  <c r="R417" i="3"/>
  <c r="R246" i="3"/>
  <c r="R29" i="3"/>
  <c r="R93" i="3"/>
  <c r="R19" i="3"/>
  <c r="R83" i="3"/>
  <c r="R147" i="3"/>
  <c r="R211" i="3"/>
  <c r="R275" i="3"/>
  <c r="R339" i="3"/>
  <c r="R56" i="3"/>
  <c r="R120" i="3"/>
  <c r="R184" i="3"/>
  <c r="R248" i="3"/>
  <c r="R312" i="3"/>
  <c r="R376" i="3"/>
  <c r="R149" i="3"/>
  <c r="R213" i="3"/>
  <c r="R277" i="3"/>
  <c r="R341" i="3"/>
  <c r="R134" i="3"/>
  <c r="R390" i="3"/>
  <c r="R65" i="3"/>
  <c r="R129" i="3"/>
  <c r="R55" i="3"/>
  <c r="R119" i="3"/>
  <c r="R183" i="3"/>
  <c r="R247" i="3"/>
  <c r="R311" i="3"/>
  <c r="R44" i="3"/>
  <c r="R108" i="3"/>
  <c r="R172" i="3"/>
  <c r="R236" i="3"/>
  <c r="R300" i="3"/>
  <c r="R364" i="3"/>
  <c r="R153" i="3"/>
  <c r="R217" i="3"/>
  <c r="R345" i="3"/>
  <c r="R409" i="3"/>
  <c r="R214" i="3"/>
  <c r="R5" i="3"/>
  <c r="R133" i="3"/>
  <c r="R123" i="3"/>
  <c r="R187" i="3"/>
  <c r="R251" i="3"/>
  <c r="R315" i="3"/>
  <c r="R48" i="3"/>
  <c r="R112" i="3"/>
  <c r="R176" i="3"/>
  <c r="R240" i="3"/>
  <c r="R304" i="3"/>
  <c r="R368" i="3"/>
  <c r="R157" i="3"/>
  <c r="R221" i="3"/>
  <c r="R285" i="3"/>
  <c r="R349" i="3"/>
  <c r="R413" i="3"/>
  <c r="R230" i="3"/>
  <c r="R58" i="3"/>
  <c r="R122" i="3"/>
  <c r="R186" i="3"/>
  <c r="R250" i="3"/>
  <c r="R314" i="3"/>
  <c r="R378" i="3"/>
  <c r="R367" i="3"/>
  <c r="R14" i="3"/>
  <c r="R78" i="3"/>
  <c r="R142" i="3"/>
  <c r="R270" i="3"/>
  <c r="R334" i="3"/>
  <c r="R398" i="3"/>
  <c r="R387" i="3"/>
  <c r="R34" i="3"/>
  <c r="R98" i="3"/>
  <c r="R226" i="3"/>
  <c r="R290" i="3"/>
  <c r="R354" i="3"/>
  <c r="R418" i="3"/>
  <c r="R391" i="3"/>
  <c r="S6" i="3"/>
  <c r="S134" i="3"/>
  <c r="S38" i="3"/>
  <c r="S164" i="3"/>
  <c r="S70" i="3"/>
  <c r="S102" i="3"/>
  <c r="S423" i="3"/>
  <c r="S407" i="3"/>
  <c r="S391" i="3"/>
  <c r="S375" i="3"/>
  <c r="S359" i="3"/>
  <c r="S343" i="3"/>
  <c r="S419" i="3"/>
  <c r="S415" i="3"/>
  <c r="S399" i="3"/>
  <c r="S383" i="3"/>
  <c r="S367" i="3"/>
  <c r="S351" i="3"/>
  <c r="S403" i="3"/>
  <c r="S371" i="3"/>
  <c r="S421" i="3"/>
  <c r="S405" i="3"/>
  <c r="S416" i="3"/>
  <c r="S400" i="3"/>
  <c r="S384" i="3"/>
  <c r="S368" i="3"/>
  <c r="S352" i="3"/>
  <c r="S336" i="3"/>
  <c r="S320" i="3"/>
  <c r="S304" i="3"/>
  <c r="S288" i="3"/>
  <c r="S272" i="3"/>
  <c r="S256" i="3"/>
  <c r="S240" i="3"/>
  <c r="S224" i="3"/>
  <c r="S208" i="3"/>
  <c r="S192" i="3"/>
  <c r="S176" i="3"/>
  <c r="S339" i="3"/>
  <c r="S323" i="3"/>
  <c r="S307" i="3"/>
  <c r="S291" i="3"/>
  <c r="S275" i="3"/>
  <c r="S259" i="3"/>
  <c r="S243" i="3"/>
  <c r="S227" i="3"/>
  <c r="S211" i="3"/>
  <c r="S195" i="3"/>
  <c r="S179" i="3"/>
  <c r="S163" i="3"/>
  <c r="S147" i="3"/>
  <c r="S131" i="3"/>
  <c r="S115" i="3"/>
  <c r="S99" i="3"/>
  <c r="S83" i="3"/>
  <c r="S67" i="3"/>
  <c r="S51" i="3"/>
  <c r="S35" i="3"/>
  <c r="S19" i="3"/>
  <c r="S410" i="3"/>
  <c r="S394" i="3"/>
  <c r="S378" i="3"/>
  <c r="S362" i="3"/>
  <c r="S346" i="3"/>
  <c r="S330" i="3"/>
  <c r="S314" i="3"/>
  <c r="S298" i="3"/>
  <c r="S282" i="3"/>
  <c r="S266" i="3"/>
  <c r="S250" i="3"/>
  <c r="S234" i="3"/>
  <c r="S218" i="3"/>
  <c r="S202" i="3"/>
  <c r="S150" i="3"/>
  <c r="S110" i="3"/>
  <c r="S62" i="3"/>
  <c r="S22" i="3"/>
  <c r="S393" i="3"/>
  <c r="S377" i="3"/>
  <c r="S361" i="3"/>
  <c r="S345" i="3"/>
  <c r="S329" i="3"/>
  <c r="S313" i="3"/>
  <c r="S297" i="3"/>
  <c r="S281" i="3"/>
  <c r="S265" i="3"/>
  <c r="S249" i="3"/>
  <c r="S233" i="3"/>
  <c r="S217" i="3"/>
  <c r="S201" i="3"/>
  <c r="S185" i="3"/>
  <c r="S169" i="3"/>
  <c r="S153" i="3"/>
  <c r="S137" i="3"/>
  <c r="S121" i="3"/>
  <c r="S105" i="3"/>
  <c r="S89" i="3"/>
  <c r="S73" i="3"/>
  <c r="S57" i="3"/>
  <c r="S41" i="3"/>
  <c r="S25" i="3"/>
  <c r="S9" i="3"/>
  <c r="S186" i="3"/>
  <c r="S170" i="3"/>
  <c r="S146" i="3"/>
  <c r="S114" i="3"/>
  <c r="S82" i="3"/>
  <c r="S50" i="3"/>
  <c r="S18" i="3"/>
  <c r="S148" i="3"/>
  <c r="S132" i="3"/>
  <c r="S116" i="3"/>
  <c r="S100" i="3"/>
  <c r="S84" i="3"/>
  <c r="S68" i="3"/>
  <c r="S52" i="3"/>
  <c r="S36" i="3"/>
  <c r="S20" i="3"/>
  <c r="S4" i="3"/>
  <c r="S395" i="3"/>
  <c r="S363" i="3"/>
  <c r="S417" i="3"/>
  <c r="S401" i="3"/>
  <c r="S412" i="3"/>
  <c r="S396" i="3"/>
  <c r="S380" i="3"/>
  <c r="S364" i="3"/>
  <c r="S348" i="3"/>
  <c r="S332" i="3"/>
  <c r="S316" i="3"/>
  <c r="S300" i="3"/>
  <c r="S284" i="3"/>
  <c r="S268" i="3"/>
  <c r="S252" i="3"/>
  <c r="S236" i="3"/>
  <c r="S220" i="3"/>
  <c r="S204" i="3"/>
  <c r="S188" i="3"/>
  <c r="S172" i="3"/>
  <c r="S335" i="3"/>
  <c r="S319" i="3"/>
  <c r="S303" i="3"/>
  <c r="S287" i="3"/>
  <c r="S271" i="3"/>
  <c r="S255" i="3"/>
  <c r="S239" i="3"/>
  <c r="S223" i="3"/>
  <c r="S207" i="3"/>
  <c r="S191" i="3"/>
  <c r="S175" i="3"/>
  <c r="S159" i="3"/>
  <c r="S143" i="3"/>
  <c r="S127" i="3"/>
  <c r="S111" i="3"/>
  <c r="S95" i="3"/>
  <c r="S79" i="3"/>
  <c r="S63" i="3"/>
  <c r="S47" i="3"/>
  <c r="S31" i="3"/>
  <c r="S15" i="3"/>
  <c r="S422" i="3"/>
  <c r="S406" i="3"/>
  <c r="S390" i="3"/>
  <c r="S374" i="3"/>
  <c r="S358" i="3"/>
  <c r="S342" i="3"/>
  <c r="S326" i="3"/>
  <c r="S310" i="3"/>
  <c r="S294" i="3"/>
  <c r="S278" i="3"/>
  <c r="S262" i="3"/>
  <c r="S246" i="3"/>
  <c r="S230" i="3"/>
  <c r="S214" i="3"/>
  <c r="S198" i="3"/>
  <c r="S142" i="3"/>
  <c r="S94" i="3"/>
  <c r="S54" i="3"/>
  <c r="S14" i="3"/>
  <c r="S389" i="3"/>
  <c r="S373" i="3"/>
  <c r="S357" i="3"/>
  <c r="S341" i="3"/>
  <c r="S325" i="3"/>
  <c r="S309" i="3"/>
  <c r="S293" i="3"/>
  <c r="S277" i="3"/>
  <c r="S261" i="3"/>
  <c r="S245" i="3"/>
  <c r="S229" i="3"/>
  <c r="S213" i="3"/>
  <c r="S197" i="3"/>
  <c r="S181" i="3"/>
  <c r="S165" i="3"/>
  <c r="S149" i="3"/>
  <c r="S133" i="3"/>
  <c r="S117" i="3"/>
  <c r="S101" i="3"/>
  <c r="S85" i="3"/>
  <c r="S69" i="3"/>
  <c r="S53" i="3"/>
  <c r="S37" i="3"/>
  <c r="S21" i="3"/>
  <c r="S5" i="3"/>
  <c r="S182" i="3"/>
  <c r="S166" i="3"/>
  <c r="S138" i="3"/>
  <c r="S106" i="3"/>
  <c r="S74" i="3"/>
  <c r="S42" i="3"/>
  <c r="S10" i="3"/>
  <c r="S160" i="3"/>
  <c r="S144" i="3"/>
  <c r="S128" i="3"/>
  <c r="S112" i="3"/>
  <c r="S96" i="3"/>
  <c r="S80" i="3"/>
  <c r="S64" i="3"/>
  <c r="S48" i="3"/>
  <c r="S32" i="3"/>
  <c r="S16" i="3"/>
  <c r="S387" i="3"/>
  <c r="S355" i="3"/>
  <c r="S413" i="3"/>
  <c r="S424" i="3"/>
  <c r="S408" i="3"/>
  <c r="S392" i="3"/>
  <c r="S376" i="3"/>
  <c r="S360" i="3"/>
  <c r="S344" i="3"/>
  <c r="S328" i="3"/>
  <c r="S312" i="3"/>
  <c r="S296" i="3"/>
  <c r="S280" i="3"/>
  <c r="S264" i="3"/>
  <c r="S248" i="3"/>
  <c r="S232" i="3"/>
  <c r="S216" i="3"/>
  <c r="S200" i="3"/>
  <c r="S184" i="3"/>
  <c r="S168" i="3"/>
  <c r="S331" i="3"/>
  <c r="S315" i="3"/>
  <c r="S299" i="3"/>
  <c r="S283" i="3"/>
  <c r="S267" i="3"/>
  <c r="S251" i="3"/>
  <c r="S235" i="3"/>
  <c r="S219" i="3"/>
  <c r="S203" i="3"/>
  <c r="S187" i="3"/>
  <c r="S171" i="3"/>
  <c r="S155" i="3"/>
  <c r="S139" i="3"/>
  <c r="S123" i="3"/>
  <c r="S107" i="3"/>
  <c r="S91" i="3"/>
  <c r="S75" i="3"/>
  <c r="S59" i="3"/>
  <c r="S43" i="3"/>
  <c r="S27" i="3"/>
  <c r="S11" i="3"/>
  <c r="S418" i="3"/>
  <c r="S402" i="3"/>
  <c r="S386" i="3"/>
  <c r="S370" i="3"/>
  <c r="S354" i="3"/>
  <c r="S338" i="3"/>
  <c r="S322" i="3"/>
  <c r="S306" i="3"/>
  <c r="S290" i="3"/>
  <c r="S274" i="3"/>
  <c r="S258" i="3"/>
  <c r="S242" i="3"/>
  <c r="S226" i="3"/>
  <c r="S210" i="3"/>
  <c r="S194" i="3"/>
  <c r="S126" i="3"/>
  <c r="S86" i="3"/>
  <c r="S46" i="3"/>
  <c r="S385" i="3"/>
  <c r="S369" i="3"/>
  <c r="S353" i="3"/>
  <c r="S337" i="3"/>
  <c r="S321" i="3"/>
  <c r="S305" i="3"/>
  <c r="S289" i="3"/>
  <c r="S273" i="3"/>
  <c r="S257" i="3"/>
  <c r="S241" i="3"/>
  <c r="S225" i="3"/>
  <c r="S209" i="3"/>
  <c r="S193" i="3"/>
  <c r="S177" i="3"/>
  <c r="S161" i="3"/>
  <c r="S145" i="3"/>
  <c r="S129" i="3"/>
  <c r="S113" i="3"/>
  <c r="S97" i="3"/>
  <c r="S81" i="3"/>
  <c r="S65" i="3"/>
  <c r="S49" i="3"/>
  <c r="S33" i="3"/>
  <c r="S17" i="3"/>
  <c r="S178" i="3"/>
  <c r="S162" i="3"/>
  <c r="S130" i="3"/>
  <c r="S98" i="3"/>
  <c r="S66" i="3"/>
  <c r="S34" i="3"/>
  <c r="S156" i="3"/>
  <c r="S140" i="3"/>
  <c r="S124" i="3"/>
  <c r="S108" i="3"/>
  <c r="S92" i="3"/>
  <c r="S76" i="3"/>
  <c r="S60" i="3"/>
  <c r="S44" i="3"/>
  <c r="S28" i="3"/>
  <c r="S12" i="3"/>
  <c r="S411" i="3"/>
  <c r="S379" i="3"/>
  <c r="S347" i="3"/>
  <c r="S409" i="3"/>
  <c r="S420" i="3"/>
  <c r="S404" i="3"/>
  <c r="S388" i="3"/>
  <c r="S372" i="3"/>
  <c r="S356" i="3"/>
  <c r="S340" i="3"/>
  <c r="S324" i="3"/>
  <c r="S308" i="3"/>
  <c r="S292" i="3"/>
  <c r="S276" i="3"/>
  <c r="S260" i="3"/>
  <c r="S244" i="3"/>
  <c r="S228" i="3"/>
  <c r="S212" i="3"/>
  <c r="S196" i="3"/>
  <c r="S180" i="3"/>
  <c r="S327" i="3"/>
  <c r="S311" i="3"/>
  <c r="S295" i="3"/>
  <c r="S279" i="3"/>
  <c r="S263" i="3"/>
  <c r="S247" i="3"/>
  <c r="S231" i="3"/>
  <c r="S215" i="3"/>
  <c r="S199" i="3"/>
  <c r="S183" i="3"/>
  <c r="S167" i="3"/>
  <c r="S151" i="3"/>
  <c r="S135" i="3"/>
  <c r="S119" i="3"/>
  <c r="S103" i="3"/>
  <c r="S87" i="3"/>
  <c r="S71" i="3"/>
  <c r="S55" i="3"/>
  <c r="S39" i="3"/>
  <c r="S23" i="3"/>
  <c r="S7" i="3"/>
  <c r="S414" i="3"/>
  <c r="S398" i="3"/>
  <c r="S382" i="3"/>
  <c r="S366" i="3"/>
  <c r="S350" i="3"/>
  <c r="S334" i="3"/>
  <c r="S318" i="3"/>
  <c r="S302" i="3"/>
  <c r="S286" i="3"/>
  <c r="S270" i="3"/>
  <c r="S254" i="3"/>
  <c r="S238" i="3"/>
  <c r="S222" i="3"/>
  <c r="S206" i="3"/>
  <c r="S158" i="3"/>
  <c r="S118" i="3"/>
  <c r="S78" i="3"/>
  <c r="S30" i="3"/>
  <c r="S397" i="3"/>
  <c r="S381" i="3"/>
  <c r="S365" i="3"/>
  <c r="S349" i="3"/>
  <c r="S333" i="3"/>
  <c r="S317" i="3"/>
  <c r="S301" i="3"/>
  <c r="S285" i="3"/>
  <c r="S269" i="3"/>
  <c r="S253" i="3"/>
  <c r="S237" i="3"/>
  <c r="S221" i="3"/>
  <c r="S205" i="3"/>
  <c r="S189" i="3"/>
  <c r="S173" i="3"/>
  <c r="S157" i="3"/>
  <c r="S141" i="3"/>
  <c r="S125" i="3"/>
  <c r="S109" i="3"/>
  <c r="S93" i="3"/>
  <c r="S77" i="3"/>
  <c r="S61" i="3"/>
  <c r="S45" i="3"/>
  <c r="S29" i="3"/>
  <c r="S13" i="3"/>
  <c r="S190" i="3"/>
  <c r="S174" i="3"/>
  <c r="S154" i="3"/>
  <c r="S122" i="3"/>
  <c r="S90" i="3"/>
  <c r="S58" i="3"/>
  <c r="S26" i="3"/>
  <c r="S152" i="3"/>
  <c r="S136" i="3"/>
  <c r="S120" i="3"/>
  <c r="S104" i="3"/>
  <c r="S88" i="3"/>
  <c r="S72" i="3"/>
  <c r="S56" i="3"/>
  <c r="S40" i="3"/>
  <c r="S24" i="3"/>
  <c r="S8" i="3"/>
  <c r="U74" i="3"/>
  <c r="U138" i="3"/>
  <c r="U202" i="3"/>
  <c r="C201" i="5" s="1"/>
  <c r="U266" i="3"/>
  <c r="U330" i="3"/>
  <c r="U394" i="3"/>
  <c r="C393" i="5" s="1"/>
  <c r="U91" i="3"/>
  <c r="U215" i="3"/>
  <c r="U392" i="3"/>
  <c r="U111" i="3"/>
  <c r="U247" i="3"/>
  <c r="U379" i="3"/>
  <c r="U100" i="3"/>
  <c r="U164" i="3"/>
  <c r="U228" i="3"/>
  <c r="C227" i="5" s="1"/>
  <c r="U292" i="3"/>
  <c r="U85" i="3"/>
  <c r="U149" i="3"/>
  <c r="U277" i="3"/>
  <c r="C276" i="5" s="1"/>
  <c r="U341" i="3"/>
  <c r="U62" i="3"/>
  <c r="U126" i="3"/>
  <c r="U190" i="3"/>
  <c r="C189" i="5" s="1"/>
  <c r="U254" i="3"/>
  <c r="U318" i="3"/>
  <c r="U382" i="3"/>
  <c r="U67" i="3"/>
  <c r="U187" i="3"/>
  <c r="U315" i="3"/>
  <c r="U87" i="3"/>
  <c r="U88" i="3"/>
  <c r="U152" i="3"/>
  <c r="U280" i="3"/>
  <c r="C279" i="5" s="1"/>
  <c r="U344" i="3"/>
  <c r="U9" i="3"/>
  <c r="U73" i="3"/>
  <c r="U201" i="3"/>
  <c r="C200" i="5" s="1"/>
  <c r="U265" i="3"/>
  <c r="U329" i="3"/>
  <c r="U393" i="3"/>
  <c r="C392" i="5" s="1"/>
  <c r="U50" i="3"/>
  <c r="U114" i="3"/>
  <c r="U178" i="3"/>
  <c r="C177" i="5" s="1"/>
  <c r="U242" i="3"/>
  <c r="U306" i="3"/>
  <c r="U370" i="3"/>
  <c r="U11" i="3"/>
  <c r="U135" i="3"/>
  <c r="U259" i="3"/>
  <c r="U383" i="3"/>
  <c r="U163" i="3"/>
  <c r="C162" i="5" s="1"/>
  <c r="U295" i="3"/>
  <c r="U76" i="3"/>
  <c r="U140" i="3"/>
  <c r="U204" i="3"/>
  <c r="C203" i="5" s="1"/>
  <c r="U268" i="3"/>
  <c r="U61" i="3"/>
  <c r="U125" i="3"/>
  <c r="U189" i="3"/>
  <c r="C188" i="5" s="1"/>
  <c r="U253" i="3"/>
  <c r="U317" i="3"/>
  <c r="U86" i="3"/>
  <c r="U150" i="3"/>
  <c r="C149" i="5" s="1"/>
  <c r="U342" i="3"/>
  <c r="U207" i="3"/>
  <c r="U331" i="3"/>
  <c r="U103" i="3"/>
  <c r="U239" i="3"/>
  <c r="U48" i="3"/>
  <c r="U176" i="3"/>
  <c r="U240" i="3"/>
  <c r="C239" i="5" s="1"/>
  <c r="U304" i="3"/>
  <c r="U368" i="3"/>
  <c r="C320" i="5" s="1"/>
  <c r="U97" i="3"/>
  <c r="U161" i="3"/>
  <c r="C160" i="5" s="1"/>
  <c r="U353" i="3"/>
  <c r="R57" i="3"/>
  <c r="R121" i="3"/>
  <c r="R47" i="3"/>
  <c r="R111" i="3"/>
  <c r="R175" i="3"/>
  <c r="R239" i="3"/>
  <c r="R20" i="3"/>
  <c r="R148" i="3"/>
  <c r="R212" i="3"/>
  <c r="R404" i="3"/>
  <c r="R177" i="3"/>
  <c r="R241" i="3"/>
  <c r="R369" i="3"/>
  <c r="R54" i="3"/>
  <c r="R310" i="3"/>
  <c r="R45" i="3"/>
  <c r="R35" i="3"/>
  <c r="R99" i="3"/>
  <c r="R163" i="3"/>
  <c r="R291" i="3"/>
  <c r="R8" i="3"/>
  <c r="R72" i="3"/>
  <c r="R136" i="3"/>
  <c r="R200" i="3"/>
  <c r="R264" i="3"/>
  <c r="R328" i="3"/>
  <c r="R392" i="3"/>
  <c r="R165" i="3"/>
  <c r="R229" i="3"/>
  <c r="R293" i="3"/>
  <c r="R421" i="3"/>
  <c r="R198" i="3"/>
  <c r="R17" i="3"/>
  <c r="R81" i="3"/>
  <c r="R7" i="3"/>
  <c r="R135" i="3"/>
  <c r="R199" i="3"/>
  <c r="R263" i="3"/>
  <c r="R327" i="3"/>
  <c r="R124" i="3"/>
  <c r="R188" i="3"/>
  <c r="R316" i="3"/>
  <c r="R169" i="3"/>
  <c r="R297" i="3"/>
  <c r="R361" i="3"/>
  <c r="R22" i="3"/>
  <c r="R278" i="3"/>
  <c r="R21" i="3"/>
  <c r="R85" i="3"/>
  <c r="R11" i="3"/>
  <c r="R75" i="3"/>
  <c r="R139" i="3"/>
  <c r="R203" i="3"/>
  <c r="R267" i="3"/>
  <c r="R331" i="3"/>
  <c r="R128" i="3"/>
  <c r="R192" i="3"/>
  <c r="R256" i="3"/>
  <c r="R320" i="3"/>
  <c r="R173" i="3"/>
  <c r="R237" i="3"/>
  <c r="R301" i="3"/>
  <c r="R365" i="3"/>
  <c r="R38" i="3"/>
  <c r="R294" i="3"/>
  <c r="R363" i="3"/>
  <c r="R10" i="3"/>
  <c r="R74" i="3"/>
  <c r="R202" i="3"/>
  <c r="R266" i="3"/>
  <c r="R330" i="3"/>
  <c r="R383" i="3"/>
  <c r="R30" i="3"/>
  <c r="R94" i="3"/>
  <c r="R158" i="3"/>
  <c r="R222" i="3"/>
  <c r="R286" i="3"/>
  <c r="R350" i="3"/>
  <c r="R403" i="3"/>
  <c r="R50" i="3"/>
  <c r="R114" i="3"/>
  <c r="R178" i="3"/>
  <c r="R242" i="3"/>
  <c r="R306" i="3"/>
  <c r="R343" i="3"/>
  <c r="R407" i="3"/>
  <c r="O419" i="3"/>
  <c r="O403" i="3"/>
  <c r="O387" i="3"/>
  <c r="O371" i="3"/>
  <c r="O355" i="3"/>
  <c r="O339" i="3"/>
  <c r="O323" i="3"/>
  <c r="O307" i="3"/>
  <c r="O291" i="3"/>
  <c r="O275" i="3"/>
  <c r="O259" i="3"/>
  <c r="O243" i="3"/>
  <c r="O227" i="3"/>
  <c r="O211" i="3"/>
  <c r="O195" i="3"/>
  <c r="O179" i="3"/>
  <c r="O163" i="3"/>
  <c r="O413" i="3"/>
  <c r="O397" i="3"/>
  <c r="O381" i="3"/>
  <c r="O365" i="3"/>
  <c r="O349" i="3"/>
  <c r="O333" i="3"/>
  <c r="O317" i="3"/>
  <c r="O301" i="3"/>
  <c r="O285" i="3"/>
  <c r="O269" i="3"/>
  <c r="O253" i="3"/>
  <c r="O237" i="3"/>
  <c r="O221" i="3"/>
  <c r="O205" i="3"/>
  <c r="O189" i="3"/>
  <c r="O173" i="3"/>
  <c r="O157" i="3"/>
  <c r="O141" i="3"/>
  <c r="O125" i="3"/>
  <c r="O109" i="3"/>
  <c r="O93" i="3"/>
  <c r="O77" i="3"/>
  <c r="O61" i="3"/>
  <c r="O45" i="3"/>
  <c r="O29" i="3"/>
  <c r="O13" i="3"/>
  <c r="O424" i="3"/>
  <c r="O408" i="3"/>
  <c r="O392" i="3"/>
  <c r="O376" i="3"/>
  <c r="O360" i="3"/>
  <c r="O344" i="3"/>
  <c r="O328" i="3"/>
  <c r="O312" i="3"/>
  <c r="O296" i="3"/>
  <c r="O280" i="3"/>
  <c r="O264" i="3"/>
  <c r="O248" i="3"/>
  <c r="O232" i="3"/>
  <c r="O216" i="3"/>
  <c r="O200" i="3"/>
  <c r="O184" i="3"/>
  <c r="O168" i="3"/>
  <c r="O152" i="3"/>
  <c r="O136" i="3"/>
  <c r="O120" i="3"/>
  <c r="O104" i="3"/>
  <c r="O88" i="3"/>
  <c r="O72" i="3"/>
  <c r="O56" i="3"/>
  <c r="O40" i="3"/>
  <c r="O24" i="3"/>
  <c r="O8" i="3"/>
  <c r="O147" i="3"/>
  <c r="O131" i="3"/>
  <c r="O115" i="3"/>
  <c r="O99" i="3"/>
  <c r="O83" i="3"/>
  <c r="O67" i="3"/>
  <c r="O51" i="3"/>
  <c r="O35" i="3"/>
  <c r="O19" i="3"/>
  <c r="O415" i="3"/>
  <c r="O399" i="3"/>
  <c r="O383" i="3"/>
  <c r="O367" i="3"/>
  <c r="O351" i="3"/>
  <c r="O335" i="3"/>
  <c r="O319" i="3"/>
  <c r="O303" i="3"/>
  <c r="O287" i="3"/>
  <c r="O271" i="3"/>
  <c r="O255" i="3"/>
  <c r="O239" i="3"/>
  <c r="O223" i="3"/>
  <c r="O207" i="3"/>
  <c r="O191" i="3"/>
  <c r="O175" i="3"/>
  <c r="O409" i="3"/>
  <c r="O393" i="3"/>
  <c r="O377" i="3"/>
  <c r="O361" i="3"/>
  <c r="O345" i="3"/>
  <c r="O329" i="3"/>
  <c r="O313" i="3"/>
  <c r="O297" i="3"/>
  <c r="O281" i="3"/>
  <c r="O265" i="3"/>
  <c r="O249" i="3"/>
  <c r="O233" i="3"/>
  <c r="O217" i="3"/>
  <c r="O201" i="3"/>
  <c r="O185" i="3"/>
  <c r="O169" i="3"/>
  <c r="O153" i="3"/>
  <c r="O137" i="3"/>
  <c r="O121" i="3"/>
  <c r="O105" i="3"/>
  <c r="O89" i="3"/>
  <c r="O73" i="3"/>
  <c r="O57" i="3"/>
  <c r="O41" i="3"/>
  <c r="O25" i="3"/>
  <c r="O9" i="3"/>
  <c r="O420" i="3"/>
  <c r="O404" i="3"/>
  <c r="O388" i="3"/>
  <c r="O372" i="3"/>
  <c r="O356" i="3"/>
  <c r="O340" i="3"/>
  <c r="O324" i="3"/>
  <c r="O308" i="3"/>
  <c r="O292" i="3"/>
  <c r="O276" i="3"/>
  <c r="O260" i="3"/>
  <c r="O244" i="3"/>
  <c r="O228" i="3"/>
  <c r="O212" i="3"/>
  <c r="O196" i="3"/>
  <c r="O180" i="3"/>
  <c r="O164" i="3"/>
  <c r="O148" i="3"/>
  <c r="O132" i="3"/>
  <c r="O116" i="3"/>
  <c r="O100" i="3"/>
  <c r="O84" i="3"/>
  <c r="O68" i="3"/>
  <c r="O52" i="3"/>
  <c r="O36" i="3"/>
  <c r="O20" i="3"/>
  <c r="O4" i="3"/>
  <c r="O159" i="3"/>
  <c r="O143" i="3"/>
  <c r="O127" i="3"/>
  <c r="O111" i="3"/>
  <c r="O95" i="3"/>
  <c r="O79" i="3"/>
  <c r="O63" i="3"/>
  <c r="O47" i="3"/>
  <c r="O31" i="3"/>
  <c r="O15" i="3"/>
  <c r="O411" i="3"/>
  <c r="O395" i="3"/>
  <c r="O379" i="3"/>
  <c r="O363" i="3"/>
  <c r="O347" i="3"/>
  <c r="O331" i="3"/>
  <c r="O315" i="3"/>
  <c r="O299" i="3"/>
  <c r="O283" i="3"/>
  <c r="O267" i="3"/>
  <c r="O251" i="3"/>
  <c r="O235" i="3"/>
  <c r="O219" i="3"/>
  <c r="O203" i="3"/>
  <c r="O187" i="3"/>
  <c r="O171" i="3"/>
  <c r="O421" i="3"/>
  <c r="O405" i="3"/>
  <c r="O389" i="3"/>
  <c r="O373" i="3"/>
  <c r="O357" i="3"/>
  <c r="O341" i="3"/>
  <c r="O325" i="3"/>
  <c r="O309" i="3"/>
  <c r="O293" i="3"/>
  <c r="O277" i="3"/>
  <c r="O261" i="3"/>
  <c r="O245" i="3"/>
  <c r="O229" i="3"/>
  <c r="O213" i="3"/>
  <c r="O197" i="3"/>
  <c r="O181" i="3"/>
  <c r="O165" i="3"/>
  <c r="O149" i="3"/>
  <c r="O133" i="3"/>
  <c r="O117" i="3"/>
  <c r="O101" i="3"/>
  <c r="O85" i="3"/>
  <c r="O69" i="3"/>
  <c r="O53" i="3"/>
  <c r="O37" i="3"/>
  <c r="O21" i="3"/>
  <c r="O5" i="3"/>
  <c r="O416" i="3"/>
  <c r="O400" i="3"/>
  <c r="O384" i="3"/>
  <c r="O368" i="3"/>
  <c r="O352" i="3"/>
  <c r="O336" i="3"/>
  <c r="O320" i="3"/>
  <c r="O304" i="3"/>
  <c r="O288" i="3"/>
  <c r="O272" i="3"/>
  <c r="O256" i="3"/>
  <c r="O240" i="3"/>
  <c r="O224" i="3"/>
  <c r="O208" i="3"/>
  <c r="O192" i="3"/>
  <c r="O176" i="3"/>
  <c r="O160" i="3"/>
  <c r="O144" i="3"/>
  <c r="O128" i="3"/>
  <c r="O112" i="3"/>
  <c r="O96" i="3"/>
  <c r="O80" i="3"/>
  <c r="O64" i="3"/>
  <c r="O48" i="3"/>
  <c r="O32" i="3"/>
  <c r="O16" i="3"/>
  <c r="O155" i="3"/>
  <c r="O139" i="3"/>
  <c r="O123" i="3"/>
  <c r="O107" i="3"/>
  <c r="O91" i="3"/>
  <c r="O75" i="3"/>
  <c r="O59" i="3"/>
  <c r="O43" i="3"/>
  <c r="O27" i="3"/>
  <c r="O11" i="3"/>
  <c r="O423" i="3"/>
  <c r="O407" i="3"/>
  <c r="O391" i="3"/>
  <c r="O375" i="3"/>
  <c r="O359" i="3"/>
  <c r="O343" i="3"/>
  <c r="O327" i="3"/>
  <c r="O311" i="3"/>
  <c r="O295" i="3"/>
  <c r="O279" i="3"/>
  <c r="O263" i="3"/>
  <c r="O247" i="3"/>
  <c r="O231" i="3"/>
  <c r="O215" i="3"/>
  <c r="O199" i="3"/>
  <c r="O183" i="3"/>
  <c r="O167" i="3"/>
  <c r="O417" i="3"/>
  <c r="O401" i="3"/>
  <c r="O385" i="3"/>
  <c r="O369" i="3"/>
  <c r="O353" i="3"/>
  <c r="O337" i="3"/>
  <c r="O321" i="3"/>
  <c r="O305" i="3"/>
  <c r="O289" i="3"/>
  <c r="O273" i="3"/>
  <c r="O257" i="3"/>
  <c r="O241" i="3"/>
  <c r="O225" i="3"/>
  <c r="O209" i="3"/>
  <c r="O193" i="3"/>
  <c r="O177" i="3"/>
  <c r="O161" i="3"/>
  <c r="O145" i="3"/>
  <c r="O129" i="3"/>
  <c r="O113" i="3"/>
  <c r="O97" i="3"/>
  <c r="O81" i="3"/>
  <c r="O65" i="3"/>
  <c r="O49" i="3"/>
  <c r="O33" i="3"/>
  <c r="O17" i="3"/>
  <c r="O412" i="3"/>
  <c r="O396" i="3"/>
  <c r="O380" i="3"/>
  <c r="O364" i="3"/>
  <c r="O348" i="3"/>
  <c r="O332" i="3"/>
  <c r="O316" i="3"/>
  <c r="O300" i="3"/>
  <c r="O284" i="3"/>
  <c r="O268" i="3"/>
  <c r="O252" i="3"/>
  <c r="O236" i="3"/>
  <c r="O220" i="3"/>
  <c r="O204" i="3"/>
  <c r="O188" i="3"/>
  <c r="O172" i="3"/>
  <c r="O156" i="3"/>
  <c r="O140" i="3"/>
  <c r="O124" i="3"/>
  <c r="O108" i="3"/>
  <c r="O92" i="3"/>
  <c r="O76" i="3"/>
  <c r="O60" i="3"/>
  <c r="O44" i="3"/>
  <c r="O28" i="3"/>
  <c r="O12" i="3"/>
  <c r="O151" i="3"/>
  <c r="O135" i="3"/>
  <c r="O119" i="3"/>
  <c r="O103" i="3"/>
  <c r="O87" i="3"/>
  <c r="O71" i="3"/>
  <c r="O55" i="3"/>
  <c r="O39" i="3"/>
  <c r="O23" i="3"/>
  <c r="O7" i="3"/>
  <c r="O414" i="3"/>
  <c r="O398" i="3"/>
  <c r="O382" i="3"/>
  <c r="O366" i="3"/>
  <c r="O350" i="3"/>
  <c r="O334" i="3"/>
  <c r="O318" i="3"/>
  <c r="O302" i="3"/>
  <c r="O286" i="3"/>
  <c r="O270" i="3"/>
  <c r="O254" i="3"/>
  <c r="O238" i="3"/>
  <c r="O222" i="3"/>
  <c r="O206" i="3"/>
  <c r="O190" i="3"/>
  <c r="O174" i="3"/>
  <c r="O158" i="3"/>
  <c r="O142" i="3"/>
  <c r="O126" i="3"/>
  <c r="O110" i="3"/>
  <c r="O94" i="3"/>
  <c r="O78" i="3"/>
  <c r="O62" i="3"/>
  <c r="O46" i="3"/>
  <c r="O30" i="3"/>
  <c r="O14" i="3"/>
  <c r="O410" i="3"/>
  <c r="O394" i="3"/>
  <c r="O378" i="3"/>
  <c r="O362" i="3"/>
  <c r="O346" i="3"/>
  <c r="O330" i="3"/>
  <c r="O314" i="3"/>
  <c r="O298" i="3"/>
  <c r="O282" i="3"/>
  <c r="O266" i="3"/>
  <c r="O250" i="3"/>
  <c r="O234" i="3"/>
  <c r="O218" i="3"/>
  <c r="O202" i="3"/>
  <c r="O186" i="3"/>
  <c r="O170" i="3"/>
  <c r="O154" i="3"/>
  <c r="O138" i="3"/>
  <c r="O122" i="3"/>
  <c r="O106" i="3"/>
  <c r="O90" i="3"/>
  <c r="O74" i="3"/>
  <c r="O58" i="3"/>
  <c r="O42" i="3"/>
  <c r="O26" i="3"/>
  <c r="O10" i="3"/>
  <c r="O422" i="3"/>
  <c r="O406" i="3"/>
  <c r="O390" i="3"/>
  <c r="O374" i="3"/>
  <c r="O358" i="3"/>
  <c r="O342" i="3"/>
  <c r="O326" i="3"/>
  <c r="O310" i="3"/>
  <c r="O294" i="3"/>
  <c r="O278" i="3"/>
  <c r="O262" i="3"/>
  <c r="O246" i="3"/>
  <c r="O230" i="3"/>
  <c r="O214" i="3"/>
  <c r="O198" i="3"/>
  <c r="O182" i="3"/>
  <c r="O166" i="3"/>
  <c r="O150" i="3"/>
  <c r="O134" i="3"/>
  <c r="O118" i="3"/>
  <c r="O102" i="3"/>
  <c r="O86" i="3"/>
  <c r="O70" i="3"/>
  <c r="O54" i="3"/>
  <c r="O38" i="3"/>
  <c r="O22" i="3"/>
  <c r="O6" i="3"/>
  <c r="O418" i="3"/>
  <c r="O402" i="3"/>
  <c r="O386" i="3"/>
  <c r="O370" i="3"/>
  <c r="O354" i="3"/>
  <c r="O338" i="3"/>
  <c r="O322" i="3"/>
  <c r="O306" i="3"/>
  <c r="O290" i="3"/>
  <c r="O274" i="3"/>
  <c r="O258" i="3"/>
  <c r="O242" i="3"/>
  <c r="O226" i="3"/>
  <c r="O210" i="3"/>
  <c r="O194" i="3"/>
  <c r="O178" i="3"/>
  <c r="O162" i="3"/>
  <c r="O146" i="3"/>
  <c r="O130" i="3"/>
  <c r="O114" i="3"/>
  <c r="O98" i="3"/>
  <c r="O82" i="3"/>
  <c r="O66" i="3"/>
  <c r="O50" i="3"/>
  <c r="O34" i="3"/>
  <c r="O18" i="3"/>
  <c r="U90" i="3"/>
  <c r="U282" i="3"/>
  <c r="U346" i="3"/>
  <c r="U410" i="3"/>
  <c r="C409" i="5" s="1"/>
  <c r="U119" i="3"/>
  <c r="U243" i="3"/>
  <c r="U15" i="3"/>
  <c r="U147" i="3"/>
  <c r="U279" i="3"/>
  <c r="U52" i="3"/>
  <c r="U116" i="3"/>
  <c r="U180" i="3"/>
  <c r="U244" i="3"/>
  <c r="U308" i="3"/>
  <c r="U101" i="3"/>
  <c r="U165" i="3"/>
  <c r="U229" i="3"/>
  <c r="U293" i="3"/>
  <c r="U14" i="3"/>
  <c r="U78" i="3"/>
  <c r="U142" i="3"/>
  <c r="U206" i="3"/>
  <c r="C205" i="5" s="1"/>
  <c r="U270" i="3"/>
  <c r="U334" i="3"/>
  <c r="U398" i="3"/>
  <c r="C397" i="5" s="1"/>
  <c r="U99" i="3"/>
  <c r="U343" i="3"/>
  <c r="C342" i="5" s="1"/>
  <c r="U408" i="3"/>
  <c r="C407" i="5" s="1"/>
  <c r="U123" i="3"/>
  <c r="U255" i="3"/>
  <c r="U423" i="3"/>
  <c r="C422" i="5" s="1"/>
  <c r="U104" i="3"/>
  <c r="U168" i="3"/>
  <c r="U296" i="3"/>
  <c r="U89" i="3"/>
  <c r="U281" i="3"/>
  <c r="C280" i="5" s="1"/>
  <c r="U345" i="3"/>
  <c r="U66" i="3"/>
  <c r="U130" i="3"/>
  <c r="U322" i="3"/>
  <c r="C321" i="5" s="1"/>
  <c r="U167" i="3"/>
  <c r="U291" i="3"/>
  <c r="U399" i="3"/>
  <c r="C398" i="5" s="1"/>
  <c r="U63" i="3"/>
  <c r="U199" i="3"/>
  <c r="U92" i="3"/>
  <c r="U156" i="3"/>
  <c r="U220" i="3"/>
  <c r="U284" i="3"/>
  <c r="U348" i="3"/>
  <c r="U13" i="3"/>
  <c r="U77" i="3"/>
  <c r="U141" i="3"/>
  <c r="U205" i="3"/>
  <c r="C204" i="5" s="1"/>
  <c r="U269" i="3"/>
  <c r="C268" i="5" s="1"/>
  <c r="U333" i="3"/>
  <c r="C332" i="5" s="1"/>
  <c r="U397" i="3"/>
  <c r="C396" i="5" s="1"/>
  <c r="U102" i="3"/>
  <c r="U166" i="3"/>
  <c r="C165" i="5" s="1"/>
  <c r="U294" i="3"/>
  <c r="C293" i="5" s="1"/>
  <c r="U358" i="3"/>
  <c r="U422" i="3"/>
  <c r="C421" i="5" s="1"/>
  <c r="U115" i="3"/>
  <c r="U235" i="3"/>
  <c r="U359" i="3"/>
  <c r="U7" i="3"/>
  <c r="U139" i="3"/>
  <c r="C138" i="5" s="1"/>
  <c r="U271" i="3"/>
  <c r="U404" i="3"/>
  <c r="C403" i="5" s="1"/>
  <c r="U64" i="3"/>
  <c r="U128" i="3"/>
  <c r="U192" i="3"/>
  <c r="U256" i="3"/>
  <c r="U320" i="3"/>
  <c r="U384" i="3"/>
  <c r="U49" i="3"/>
  <c r="U113" i="3"/>
  <c r="U177" i="3"/>
  <c r="U241" i="3"/>
  <c r="C240" i="5" s="1"/>
  <c r="U305" i="3"/>
  <c r="R73" i="3"/>
  <c r="R63" i="3"/>
  <c r="R127" i="3"/>
  <c r="R191" i="3"/>
  <c r="R255" i="3"/>
  <c r="R319" i="3"/>
  <c r="R36" i="3"/>
  <c r="R100" i="3"/>
  <c r="R164" i="3"/>
  <c r="R228" i="3"/>
  <c r="R292" i="3"/>
  <c r="R356" i="3"/>
  <c r="R420" i="3"/>
  <c r="R193" i="3"/>
  <c r="R257" i="3"/>
  <c r="R321" i="3"/>
  <c r="R385" i="3"/>
  <c r="R118" i="3"/>
  <c r="R374" i="3"/>
  <c r="R61" i="3"/>
  <c r="R125" i="3"/>
  <c r="R51" i="3"/>
  <c r="R115" i="3"/>
  <c r="R179" i="3"/>
  <c r="R243" i="3"/>
  <c r="R307" i="3"/>
  <c r="R24" i="3"/>
  <c r="R88" i="3"/>
  <c r="R152" i="3"/>
  <c r="R216" i="3"/>
  <c r="R280" i="3"/>
  <c r="R344" i="3"/>
  <c r="R408" i="3"/>
  <c r="R181" i="3"/>
  <c r="R245" i="3"/>
  <c r="R309" i="3"/>
  <c r="R373" i="3"/>
  <c r="R6" i="3"/>
  <c r="R262" i="3"/>
  <c r="R33" i="3"/>
  <c r="R97" i="3"/>
  <c r="R23" i="3"/>
  <c r="R87" i="3"/>
  <c r="R151" i="3"/>
  <c r="R215" i="3"/>
  <c r="R279" i="3"/>
  <c r="R12" i="3"/>
  <c r="R76" i="3"/>
  <c r="R140" i="3"/>
  <c r="R332" i="3"/>
  <c r="R396" i="3"/>
  <c r="R249" i="3"/>
  <c r="R313" i="3"/>
  <c r="R377" i="3"/>
  <c r="R86" i="3"/>
  <c r="R342" i="3"/>
  <c r="R37" i="3"/>
  <c r="R101" i="3"/>
  <c r="R27" i="3"/>
  <c r="R91" i="3"/>
  <c r="R155" i="3"/>
  <c r="R283" i="3"/>
  <c r="R16" i="3"/>
  <c r="R80" i="3"/>
  <c r="R144" i="3"/>
  <c r="R272" i="3"/>
  <c r="R336" i="3"/>
  <c r="R400" i="3"/>
  <c r="R189" i="3"/>
  <c r="R253" i="3"/>
  <c r="R317" i="3"/>
  <c r="R381" i="3"/>
  <c r="R102" i="3"/>
  <c r="R358" i="3"/>
  <c r="R379" i="3"/>
  <c r="R26" i="3"/>
  <c r="R90" i="3"/>
  <c r="R154" i="3"/>
  <c r="R218" i="3"/>
  <c r="R282" i="3"/>
  <c r="R346" i="3"/>
  <c r="R410" i="3"/>
  <c r="R399" i="3"/>
  <c r="R46" i="3"/>
  <c r="R110" i="3"/>
  <c r="R174" i="3"/>
  <c r="R238" i="3"/>
  <c r="R302" i="3"/>
  <c r="R366" i="3"/>
  <c r="R355" i="3"/>
  <c r="R419" i="3"/>
  <c r="R66" i="3"/>
  <c r="R130" i="3"/>
  <c r="R258" i="3"/>
  <c r="R322" i="3"/>
  <c r="R386" i="3"/>
  <c r="R359" i="3"/>
  <c r="C358" i="5"/>
  <c r="C353" i="5"/>
  <c r="C384" i="5"/>
  <c r="C303" i="5"/>
  <c r="C139" i="5"/>
  <c r="C368" i="5"/>
  <c r="C375" i="5"/>
  <c r="C343" i="5"/>
  <c r="C317" i="5"/>
  <c r="C232" i="5"/>
  <c r="C187" i="5"/>
  <c r="C250" i="5"/>
  <c r="C369" i="5"/>
  <c r="C336" i="5"/>
  <c r="C260" i="5"/>
  <c r="F432" i="3"/>
  <c r="E432" i="3"/>
  <c r="C327" i="5"/>
  <c r="C247" i="5"/>
  <c r="C231" i="5"/>
  <c r="C199" i="5"/>
  <c r="C167" i="5"/>
  <c r="C135" i="5"/>
  <c r="C119" i="5"/>
  <c r="C354" i="5"/>
  <c r="C322" i="5"/>
  <c r="C306" i="5"/>
  <c r="C290" i="5"/>
  <c r="C258" i="5"/>
  <c r="C178" i="5"/>
  <c r="C130" i="5"/>
  <c r="C313" i="5"/>
  <c r="C217" i="5"/>
  <c r="C185" i="5"/>
  <c r="C153" i="5"/>
  <c r="C137" i="5"/>
  <c r="C352" i="5"/>
  <c r="C288" i="5"/>
  <c r="C272" i="5"/>
  <c r="C256" i="5"/>
  <c r="C144" i="5"/>
  <c r="C128" i="5"/>
  <c r="C387" i="5"/>
  <c r="C371" i="5"/>
  <c r="C355" i="5"/>
  <c r="C323" i="5"/>
  <c r="C307" i="5"/>
  <c r="C259" i="5"/>
  <c r="C211" i="5"/>
  <c r="C195" i="5"/>
  <c r="C163" i="5"/>
  <c r="C147" i="5"/>
  <c r="C131" i="5"/>
  <c r="C366" i="5"/>
  <c r="C334" i="5"/>
  <c r="C318" i="5"/>
  <c r="C286" i="5"/>
  <c r="C238" i="5"/>
  <c r="C222" i="5"/>
  <c r="C206" i="5"/>
  <c r="C190" i="5"/>
  <c r="C174" i="5"/>
  <c r="C142" i="5"/>
  <c r="C126" i="5"/>
  <c r="C373" i="5"/>
  <c r="C357" i="5"/>
  <c r="C341" i="5"/>
  <c r="C325" i="5"/>
  <c r="C309" i="5"/>
  <c r="C277" i="5"/>
  <c r="C261" i="5"/>
  <c r="C245" i="5"/>
  <c r="C213" i="5"/>
  <c r="C133" i="5"/>
  <c r="C117" i="5"/>
  <c r="C364" i="5"/>
  <c r="C348" i="5"/>
  <c r="C316" i="5"/>
  <c r="C284" i="5"/>
  <c r="C172" i="5"/>
  <c r="C124" i="5"/>
  <c r="C351" i="5"/>
  <c r="C319" i="5"/>
  <c r="C287" i="5"/>
  <c r="C271" i="5"/>
  <c r="C207" i="5"/>
  <c r="C175" i="5"/>
  <c r="C143" i="5"/>
  <c r="C127" i="5"/>
  <c r="C378" i="5"/>
  <c r="C346" i="5"/>
  <c r="C282" i="5"/>
  <c r="C202" i="5"/>
  <c r="C186" i="5"/>
  <c r="C305" i="5"/>
  <c r="C289" i="5"/>
  <c r="C273" i="5"/>
  <c r="C257" i="5"/>
  <c r="C241" i="5"/>
  <c r="C193" i="5"/>
  <c r="C161" i="5"/>
  <c r="C145" i="5"/>
  <c r="C129" i="5"/>
  <c r="C312" i="5"/>
  <c r="C296" i="5"/>
  <c r="C264" i="5"/>
  <c r="C184" i="5"/>
  <c r="C152" i="5"/>
  <c r="C136" i="5"/>
  <c r="C120" i="5"/>
  <c r="C347" i="5"/>
  <c r="C299" i="5"/>
  <c r="C267" i="5"/>
  <c r="C235" i="5"/>
  <c r="C123" i="5"/>
  <c r="C390" i="5"/>
  <c r="C326" i="5"/>
  <c r="C294" i="5"/>
  <c r="C246" i="5"/>
  <c r="C230" i="5"/>
  <c r="C166" i="5"/>
  <c r="C150" i="5"/>
  <c r="C134" i="5"/>
  <c r="C381" i="5"/>
  <c r="C365" i="5"/>
  <c r="C269" i="5"/>
  <c r="C253" i="5"/>
  <c r="C237" i="5"/>
  <c r="C173" i="5"/>
  <c r="C157" i="5"/>
  <c r="C125" i="5"/>
  <c r="C372" i="5"/>
  <c r="C340" i="5"/>
  <c r="C324" i="5"/>
  <c r="C308" i="5"/>
  <c r="C244" i="5"/>
  <c r="C212" i="5"/>
  <c r="C180" i="5"/>
  <c r="C148" i="5"/>
  <c r="C132" i="5"/>
  <c r="C116" i="5"/>
  <c r="C31" i="5"/>
  <c r="C26" i="5"/>
  <c r="C33" i="5"/>
  <c r="C27" i="5"/>
  <c r="C21" i="5"/>
  <c r="C29" i="5"/>
  <c r="C107" i="5"/>
  <c r="C42" i="5"/>
  <c r="C25" i="5"/>
  <c r="C35" i="5"/>
  <c r="C34" i="5"/>
  <c r="P3" i="3"/>
  <c r="S3" i="3"/>
  <c r="N3" i="3"/>
  <c r="H432" i="3"/>
  <c r="Q3" i="3"/>
  <c r="O3" i="3"/>
  <c r="I432" i="3"/>
  <c r="J432" i="3"/>
  <c r="G432" i="3"/>
  <c r="R3" i="3"/>
  <c r="U3" i="3"/>
  <c r="T431" i="3"/>
  <c r="T428" i="3"/>
  <c r="T427" i="3"/>
  <c r="T429" i="3"/>
  <c r="T430" i="3"/>
  <c r="M429" i="3"/>
  <c r="M428" i="3"/>
  <c r="M430" i="3"/>
  <c r="M431" i="3"/>
  <c r="M427" i="3"/>
  <c r="C301" i="5" l="1"/>
  <c r="C386" i="5"/>
  <c r="C363" i="5"/>
  <c r="C410" i="5"/>
  <c r="C304" i="5"/>
  <c r="C291" i="5"/>
  <c r="C329" i="5"/>
  <c r="C367" i="5"/>
  <c r="C314" i="5"/>
  <c r="C338" i="5"/>
  <c r="C388" i="5"/>
  <c r="C292" i="5"/>
  <c r="C333" i="5"/>
  <c r="C344" i="5"/>
  <c r="C330" i="5"/>
  <c r="C383" i="5"/>
  <c r="C328" i="5"/>
  <c r="C176" i="5"/>
  <c r="C374" i="5"/>
  <c r="C300" i="5"/>
  <c r="C377" i="5"/>
  <c r="C382" i="5"/>
  <c r="C254" i="5"/>
  <c r="C379" i="5"/>
  <c r="C242" i="5"/>
  <c r="C281" i="5"/>
  <c r="C359" i="5"/>
  <c r="C255" i="5"/>
  <c r="C356" i="5"/>
  <c r="C311" i="5"/>
  <c r="C310" i="5"/>
  <c r="C349" i="5"/>
  <c r="C140" i="5"/>
  <c r="C283" i="5"/>
  <c r="C198" i="5"/>
  <c r="C297" i="5"/>
  <c r="C122" i="5"/>
  <c r="C350" i="5"/>
  <c r="C141" i="5"/>
  <c r="C228" i="5"/>
  <c r="C243" i="5"/>
  <c r="C278" i="5"/>
  <c r="C118" i="5"/>
  <c r="C252" i="5"/>
  <c r="C345" i="5"/>
  <c r="C151" i="5"/>
  <c r="C331" i="5"/>
  <c r="C214" i="5"/>
  <c r="C265" i="5"/>
  <c r="C339" i="5"/>
  <c r="C391" i="5"/>
  <c r="C191" i="5"/>
  <c r="C270" i="5"/>
  <c r="C234" i="5"/>
  <c r="C380" i="5"/>
  <c r="C219" i="5"/>
  <c r="C360" i="5"/>
  <c r="C164" i="5"/>
  <c r="C179" i="5"/>
  <c r="C146" i="5"/>
  <c r="C362" i="5"/>
  <c r="C155" i="5"/>
  <c r="C295" i="5"/>
  <c r="C298" i="5"/>
  <c r="C2" i="5"/>
  <c r="C71" i="5"/>
  <c r="C77" i="5"/>
  <c r="C78" i="5"/>
  <c r="C16" i="5"/>
  <c r="C96" i="5"/>
  <c r="C74" i="5"/>
  <c r="C10" i="5"/>
  <c r="C67" i="5"/>
  <c r="C75" i="5"/>
  <c r="C49" i="5"/>
  <c r="C43" i="5"/>
  <c r="C111" i="5"/>
  <c r="C50" i="5"/>
  <c r="C114" i="5"/>
  <c r="C7" i="5"/>
  <c r="C87" i="5"/>
  <c r="C4" i="5"/>
  <c r="C115" i="5"/>
  <c r="C13" i="5"/>
  <c r="C93" i="5"/>
  <c r="C14" i="5"/>
  <c r="C94" i="5"/>
  <c r="C3" i="5"/>
  <c r="C48" i="5"/>
  <c r="C112" i="5"/>
  <c r="C73" i="5"/>
  <c r="C6" i="5"/>
  <c r="C69" i="5"/>
  <c r="C56" i="5"/>
  <c r="C92" i="5"/>
  <c r="C113" i="5"/>
  <c r="C76" i="5"/>
  <c r="C72" i="5"/>
  <c r="C95" i="5"/>
  <c r="C68" i="5"/>
  <c r="C106" i="5"/>
  <c r="C85" i="5"/>
  <c r="C23" i="5"/>
  <c r="C20" i="5"/>
  <c r="C30" i="5"/>
  <c r="C32" i="5"/>
  <c r="C59" i="5"/>
  <c r="C98" i="5"/>
  <c r="C100" i="5"/>
  <c r="C41" i="5"/>
  <c r="C88" i="5"/>
  <c r="C40" i="5"/>
  <c r="C81" i="5"/>
  <c r="C12" i="5"/>
  <c r="C102" i="5"/>
  <c r="C39" i="5"/>
  <c r="C103" i="5"/>
  <c r="C52" i="5"/>
  <c r="C45" i="5"/>
  <c r="C109" i="5"/>
  <c r="C46" i="5"/>
  <c r="C110" i="5"/>
  <c r="C51" i="5"/>
  <c r="C64" i="5"/>
  <c r="C89" i="5"/>
  <c r="C54" i="5"/>
  <c r="C11" i="5"/>
  <c r="C108" i="5"/>
  <c r="C15" i="5"/>
  <c r="C5" i="5"/>
  <c r="C37" i="5"/>
  <c r="C104" i="5"/>
  <c r="C8" i="5"/>
  <c r="C24" i="5"/>
  <c r="C22" i="5"/>
  <c r="C99" i="5"/>
  <c r="C58" i="5"/>
  <c r="C63" i="5"/>
  <c r="C66" i="5"/>
  <c r="C82" i="5"/>
  <c r="C55" i="5"/>
  <c r="C84" i="5"/>
  <c r="C61" i="5"/>
  <c r="C62" i="5"/>
  <c r="C83" i="5"/>
  <c r="C80" i="5"/>
  <c r="C9" i="5"/>
  <c r="C105" i="5"/>
  <c r="C86" i="5"/>
  <c r="C47" i="5"/>
  <c r="C60" i="5"/>
  <c r="C65" i="5"/>
  <c r="C79" i="5"/>
  <c r="C53" i="5"/>
  <c r="C97" i="5"/>
  <c r="C38" i="5"/>
  <c r="C28" i="5"/>
  <c r="C70" i="5"/>
  <c r="C44" i="5"/>
  <c r="C91" i="5"/>
  <c r="C17" i="5"/>
  <c r="C101" i="5"/>
  <c r="C57" i="5"/>
  <c r="C36" i="5"/>
  <c r="C19" i="5"/>
  <c r="C90" i="5"/>
  <c r="S427" i="3"/>
  <c r="S429" i="3"/>
  <c r="R431" i="3"/>
  <c r="S431" i="3"/>
  <c r="S428" i="3"/>
  <c r="S430" i="3"/>
  <c r="N430" i="3"/>
  <c r="O430" i="3"/>
  <c r="P428" i="3"/>
  <c r="P430" i="3"/>
  <c r="P431" i="3"/>
  <c r="P429" i="3"/>
  <c r="N429" i="3"/>
  <c r="R430" i="3"/>
  <c r="N428" i="3"/>
  <c r="Q431" i="3"/>
  <c r="O427" i="3"/>
  <c r="P427" i="3"/>
  <c r="Q428" i="3"/>
  <c r="Q429" i="3"/>
  <c r="O428" i="3"/>
  <c r="N431" i="3"/>
  <c r="Q430" i="3"/>
  <c r="O431" i="3"/>
  <c r="Q427" i="3"/>
  <c r="R427" i="3"/>
  <c r="O429" i="3"/>
  <c r="N427" i="3"/>
  <c r="R428" i="3"/>
  <c r="R429" i="3"/>
  <c r="T432" i="3"/>
  <c r="AC10" i="3" s="1"/>
  <c r="M432" i="3"/>
  <c r="V6" i="3" s="1"/>
  <c r="AC151" i="3" l="1"/>
  <c r="AC236" i="3"/>
  <c r="AC215" i="3"/>
  <c r="AC364" i="3"/>
  <c r="AC5" i="3"/>
  <c r="AC172" i="3"/>
  <c r="AC408" i="3"/>
  <c r="K407" i="5" s="1"/>
  <c r="AC359" i="3"/>
  <c r="AC273" i="3"/>
  <c r="AC188" i="3"/>
  <c r="AC103" i="3"/>
  <c r="AC421" i="3"/>
  <c r="K420" i="5" s="1"/>
  <c r="AC385" i="3"/>
  <c r="AC311" i="3"/>
  <c r="AC225" i="3"/>
  <c r="AC140" i="3"/>
  <c r="AC53" i="3"/>
  <c r="AC404" i="3"/>
  <c r="K403" i="5" s="1"/>
  <c r="AC348" i="3"/>
  <c r="AC263" i="3"/>
  <c r="AC177" i="3"/>
  <c r="AC92" i="3"/>
  <c r="AC373" i="3"/>
  <c r="AC352" i="3"/>
  <c r="AC331" i="3"/>
  <c r="AC309" i="3"/>
  <c r="AC288" i="3"/>
  <c r="AC267" i="3"/>
  <c r="AC245" i="3"/>
  <c r="AC224" i="3"/>
  <c r="AC203" i="3"/>
  <c r="AC181" i="3"/>
  <c r="AC160" i="3"/>
  <c r="AC139" i="3"/>
  <c r="AC117" i="3"/>
  <c r="AC96" i="3"/>
  <c r="AC75" i="3"/>
  <c r="AC51" i="3"/>
  <c r="AC19" i="3"/>
  <c r="AC415" i="3"/>
  <c r="K414" i="5" s="1"/>
  <c r="AC399" i="3"/>
  <c r="K398" i="5" s="1"/>
  <c r="AC377" i="3"/>
  <c r="AC356" i="3"/>
  <c r="AC335" i="3"/>
  <c r="AC313" i="3"/>
  <c r="AC292" i="3"/>
  <c r="AC271" i="3"/>
  <c r="AC249" i="3"/>
  <c r="AC228" i="3"/>
  <c r="AC207" i="3"/>
  <c r="AC185" i="3"/>
  <c r="AC164" i="3"/>
  <c r="AC143" i="3"/>
  <c r="AC121" i="3"/>
  <c r="AC100" i="3"/>
  <c r="AC79" i="3"/>
  <c r="AC57" i="3"/>
  <c r="AC25" i="3"/>
  <c r="AC418" i="3"/>
  <c r="K417" i="5" s="1"/>
  <c r="AC402" i="3"/>
  <c r="K401" i="5" s="1"/>
  <c r="AC381" i="3"/>
  <c r="AC360" i="3"/>
  <c r="AC339" i="3"/>
  <c r="AC317" i="3"/>
  <c r="AC296" i="3"/>
  <c r="AC275" i="3"/>
  <c r="AC253" i="3"/>
  <c r="AC232" i="3"/>
  <c r="AC211" i="3"/>
  <c r="AC189" i="3"/>
  <c r="AC168" i="3"/>
  <c r="AC147" i="3"/>
  <c r="AC125" i="3"/>
  <c r="AC104" i="3"/>
  <c r="AC83" i="3"/>
  <c r="AC61" i="3"/>
  <c r="AC31" i="3"/>
  <c r="AC56" i="3"/>
  <c r="AC40" i="3"/>
  <c r="AC24" i="3"/>
  <c r="AC8" i="3"/>
  <c r="AC390" i="3"/>
  <c r="AC374" i="3"/>
  <c r="AC358" i="3"/>
  <c r="K357" i="5" s="1"/>
  <c r="AC342" i="3"/>
  <c r="AC326" i="3"/>
  <c r="AC310" i="3"/>
  <c r="AC294" i="3"/>
  <c r="AC278" i="3"/>
  <c r="AC262" i="3"/>
  <c r="AC246" i="3"/>
  <c r="AC230" i="3"/>
  <c r="AC214" i="3"/>
  <c r="AC198" i="3"/>
  <c r="AC182" i="3"/>
  <c r="AC166" i="3"/>
  <c r="AC150" i="3"/>
  <c r="AC134" i="3"/>
  <c r="AC118" i="3"/>
  <c r="AC102" i="3"/>
  <c r="AC86" i="3"/>
  <c r="AC70" i="3"/>
  <c r="AC54" i="3"/>
  <c r="AC38" i="3"/>
  <c r="AC22" i="3"/>
  <c r="AC6" i="3"/>
  <c r="V265" i="3"/>
  <c r="V356" i="3"/>
  <c r="V412" i="3"/>
  <c r="D411" i="5" s="1"/>
  <c r="V249" i="3"/>
  <c r="V404" i="3"/>
  <c r="D403" i="5" s="1"/>
  <c r="V233" i="3"/>
  <c r="V396" i="3"/>
  <c r="D395" i="5" s="1"/>
  <c r="V217" i="3"/>
  <c r="V417" i="3"/>
  <c r="D416" i="5" s="1"/>
  <c r="V385" i="3"/>
  <c r="V353" i="3"/>
  <c r="V321" i="3"/>
  <c r="V261" i="3"/>
  <c r="V197" i="3"/>
  <c r="V133" i="3"/>
  <c r="V69" i="3"/>
  <c r="V5" i="3"/>
  <c r="V400" i="3"/>
  <c r="D399" i="5" s="1"/>
  <c r="V368" i="3"/>
  <c r="V336" i="3"/>
  <c r="V289" i="3"/>
  <c r="V225" i="3"/>
  <c r="V161" i="3"/>
  <c r="V97" i="3"/>
  <c r="V33" i="3"/>
  <c r="V405" i="3"/>
  <c r="D404" i="5" s="1"/>
  <c r="V373" i="3"/>
  <c r="V341" i="3"/>
  <c r="V301" i="3"/>
  <c r="V237" i="3"/>
  <c r="V173" i="3"/>
  <c r="V109" i="3"/>
  <c r="V45" i="3"/>
  <c r="V312" i="3"/>
  <c r="V296" i="3"/>
  <c r="V280" i="3"/>
  <c r="V264" i="3"/>
  <c r="V248" i="3"/>
  <c r="V232" i="3"/>
  <c r="V216" i="3"/>
  <c r="V200" i="3"/>
  <c r="V184" i="3"/>
  <c r="V168" i="3"/>
  <c r="V152" i="3"/>
  <c r="V136" i="3"/>
  <c r="V120" i="3"/>
  <c r="V104" i="3"/>
  <c r="V88" i="3"/>
  <c r="V72" i="3"/>
  <c r="V56" i="3"/>
  <c r="V40" i="3"/>
  <c r="V24" i="3"/>
  <c r="V8" i="3"/>
  <c r="V415" i="3"/>
  <c r="D414" i="5" s="1"/>
  <c r="V399" i="3"/>
  <c r="D398" i="5" s="1"/>
  <c r="V383" i="3"/>
  <c r="V367" i="3"/>
  <c r="V351" i="3"/>
  <c r="V335" i="3"/>
  <c r="V319" i="3"/>
  <c r="V303" i="3"/>
  <c r="V287" i="3"/>
  <c r="V271" i="3"/>
  <c r="V255" i="3"/>
  <c r="V239" i="3"/>
  <c r="V223" i="3"/>
  <c r="V207" i="3"/>
  <c r="V191" i="3"/>
  <c r="V175" i="3"/>
  <c r="V159" i="3"/>
  <c r="V143" i="3"/>
  <c r="V127" i="3"/>
  <c r="V111" i="3"/>
  <c r="V95" i="3"/>
  <c r="V79" i="3"/>
  <c r="V63" i="3"/>
  <c r="V47" i="3"/>
  <c r="V31" i="3"/>
  <c r="V15" i="3"/>
  <c r="V418" i="3"/>
  <c r="D417" i="5" s="1"/>
  <c r="V402" i="3"/>
  <c r="D401" i="5" s="1"/>
  <c r="V386" i="3"/>
  <c r="V370" i="3"/>
  <c r="V354" i="3"/>
  <c r="V338" i="3"/>
  <c r="V322" i="3"/>
  <c r="V306" i="3"/>
  <c r="V290" i="3"/>
  <c r="V274" i="3"/>
  <c r="V258" i="3"/>
  <c r="V242" i="3"/>
  <c r="V226" i="3"/>
  <c r="V210" i="3"/>
  <c r="V194" i="3"/>
  <c r="V178" i="3"/>
  <c r="V162" i="3"/>
  <c r="V146" i="3"/>
  <c r="V130" i="3"/>
  <c r="V114" i="3"/>
  <c r="V98" i="3"/>
  <c r="V82" i="3"/>
  <c r="V66" i="3"/>
  <c r="V50" i="3"/>
  <c r="V34" i="3"/>
  <c r="V18" i="3"/>
  <c r="AC391" i="3"/>
  <c r="K390" i="5" s="1"/>
  <c r="AC417" i="3"/>
  <c r="K416" i="5" s="1"/>
  <c r="AC129" i="3"/>
  <c r="AC279" i="3"/>
  <c r="AC401" i="3"/>
  <c r="K400" i="5" s="1"/>
  <c r="AC87" i="3"/>
  <c r="AC400" i="3"/>
  <c r="K399" i="5" s="1"/>
  <c r="AC337" i="3"/>
  <c r="AC252" i="3"/>
  <c r="K251" i="5" s="1"/>
  <c r="AC167" i="3"/>
  <c r="AC81" i="3"/>
  <c r="AC413" i="3"/>
  <c r="K412" i="5" s="1"/>
  <c r="AC375" i="3"/>
  <c r="AC289" i="3"/>
  <c r="AC204" i="3"/>
  <c r="AC119" i="3"/>
  <c r="AC21" i="3"/>
  <c r="AC395" i="3"/>
  <c r="K394" i="5" s="1"/>
  <c r="AC327" i="3"/>
  <c r="AC241" i="3"/>
  <c r="AC156" i="3"/>
  <c r="AC71" i="3"/>
  <c r="AC368" i="3"/>
  <c r="AC347" i="3"/>
  <c r="AC325" i="3"/>
  <c r="K324" i="5" s="1"/>
  <c r="AC304" i="3"/>
  <c r="AC283" i="3"/>
  <c r="AC261" i="3"/>
  <c r="AC240" i="3"/>
  <c r="AC219" i="3"/>
  <c r="AC197" i="3"/>
  <c r="AC176" i="3"/>
  <c r="AC155" i="3"/>
  <c r="AC133" i="3"/>
  <c r="AC112" i="3"/>
  <c r="AC91" i="3"/>
  <c r="AC69" i="3"/>
  <c r="AC43" i="3"/>
  <c r="AC11" i="3"/>
  <c r="AC411" i="3"/>
  <c r="K410" i="5" s="1"/>
  <c r="AC393" i="3"/>
  <c r="K392" i="5" s="1"/>
  <c r="AC372" i="3"/>
  <c r="AC351" i="3"/>
  <c r="AC329" i="3"/>
  <c r="AC308" i="3"/>
  <c r="K307" i="5" s="1"/>
  <c r="AC287" i="3"/>
  <c r="AC265" i="3"/>
  <c r="AC244" i="3"/>
  <c r="AC223" i="3"/>
  <c r="AC201" i="3"/>
  <c r="AC180" i="3"/>
  <c r="AC159" i="3"/>
  <c r="AC137" i="3"/>
  <c r="AC116" i="3"/>
  <c r="AC95" i="3"/>
  <c r="AC73" i="3"/>
  <c r="AC49" i="3"/>
  <c r="AC17" i="3"/>
  <c r="AC414" i="3"/>
  <c r="K413" i="5" s="1"/>
  <c r="AC397" i="3"/>
  <c r="K396" i="5" s="1"/>
  <c r="AC376" i="3"/>
  <c r="AC355" i="3"/>
  <c r="AC333" i="3"/>
  <c r="AC312" i="3"/>
  <c r="AC291" i="3"/>
  <c r="AC269" i="3"/>
  <c r="AC248" i="3"/>
  <c r="AC227" i="3"/>
  <c r="AC205" i="3"/>
  <c r="AC184" i="3"/>
  <c r="AC163" i="3"/>
  <c r="AC141" i="3"/>
  <c r="AC120" i="3"/>
  <c r="AC99" i="3"/>
  <c r="AC77" i="3"/>
  <c r="AC55" i="3"/>
  <c r="AC23" i="3"/>
  <c r="AC52" i="3"/>
  <c r="AC36" i="3"/>
  <c r="AC20" i="3"/>
  <c r="AC4" i="3"/>
  <c r="AC386" i="3"/>
  <c r="AC370" i="3"/>
  <c r="AC354" i="3"/>
  <c r="AC338" i="3"/>
  <c r="K337" i="5" s="1"/>
  <c r="AC322" i="3"/>
  <c r="AC306" i="3"/>
  <c r="AC290" i="3"/>
  <c r="AC274" i="3"/>
  <c r="AC258" i="3"/>
  <c r="AC242" i="3"/>
  <c r="AC226" i="3"/>
  <c r="AC210" i="3"/>
  <c r="AC194" i="3"/>
  <c r="AC178" i="3"/>
  <c r="AC162" i="3"/>
  <c r="AC146" i="3"/>
  <c r="AC130" i="3"/>
  <c r="AC114" i="3"/>
  <c r="AC98" i="3"/>
  <c r="AC82" i="3"/>
  <c r="AC66" i="3"/>
  <c r="AC50" i="3"/>
  <c r="AC34" i="3"/>
  <c r="AC18" i="3"/>
  <c r="V9" i="3"/>
  <c r="V137" i="3"/>
  <c r="V380" i="3"/>
  <c r="V185" i="3"/>
  <c r="V372" i="3"/>
  <c r="V169" i="3"/>
  <c r="V364" i="3"/>
  <c r="V153" i="3"/>
  <c r="V409" i="3"/>
  <c r="D408" i="5" s="1"/>
  <c r="V377" i="3"/>
  <c r="V345" i="3"/>
  <c r="V309" i="3"/>
  <c r="V245" i="3"/>
  <c r="D244" i="5" s="1"/>
  <c r="V181" i="3"/>
  <c r="V117" i="3"/>
  <c r="V53" i="3"/>
  <c r="V424" i="3"/>
  <c r="D423" i="5" s="1"/>
  <c r="V392" i="3"/>
  <c r="V360" i="3"/>
  <c r="V328" i="3"/>
  <c r="D327" i="5" s="1"/>
  <c r="V273" i="3"/>
  <c r="V209" i="3"/>
  <c r="V145" i="3"/>
  <c r="V81" i="3"/>
  <c r="V17" i="3"/>
  <c r="V397" i="3"/>
  <c r="D396" i="5" s="1"/>
  <c r="V365" i="3"/>
  <c r="V333" i="3"/>
  <c r="V285" i="3"/>
  <c r="V221" i="3"/>
  <c r="V157" i="3"/>
  <c r="V93" i="3"/>
  <c r="V29" i="3"/>
  <c r="V308" i="3"/>
  <c r="V292" i="3"/>
  <c r="V276" i="3"/>
  <c r="V260" i="3"/>
  <c r="V244" i="3"/>
  <c r="V228" i="3"/>
  <c r="V212" i="3"/>
  <c r="V196" i="3"/>
  <c r="V180" i="3"/>
  <c r="V164" i="3"/>
  <c r="V148" i="3"/>
  <c r="V132" i="3"/>
  <c r="V116" i="3"/>
  <c r="V100" i="3"/>
  <c r="V84" i="3"/>
  <c r="V68" i="3"/>
  <c r="V52" i="3"/>
  <c r="V36" i="3"/>
  <c r="V20" i="3"/>
  <c r="V4" i="3"/>
  <c r="V411" i="3"/>
  <c r="D410" i="5" s="1"/>
  <c r="V395" i="3"/>
  <c r="D394" i="5" s="1"/>
  <c r="V379" i="3"/>
  <c r="V363" i="3"/>
  <c r="V347" i="3"/>
  <c r="V331" i="3"/>
  <c r="V315" i="3"/>
  <c r="V299" i="3"/>
  <c r="V283" i="3"/>
  <c r="V267" i="3"/>
  <c r="V251" i="3"/>
  <c r="V235" i="3"/>
  <c r="V219" i="3"/>
  <c r="V203" i="3"/>
  <c r="V187" i="3"/>
  <c r="V171" i="3"/>
  <c r="V155" i="3"/>
  <c r="V139" i="3"/>
  <c r="V123" i="3"/>
  <c r="V107" i="3"/>
  <c r="V91" i="3"/>
  <c r="V75" i="3"/>
  <c r="V59" i="3"/>
  <c r="V43" i="3"/>
  <c r="V27" i="3"/>
  <c r="V11" i="3"/>
  <c r="V414" i="3"/>
  <c r="D413" i="5" s="1"/>
  <c r="V398" i="3"/>
  <c r="D397" i="5" s="1"/>
  <c r="V382" i="3"/>
  <c r="V366" i="3"/>
  <c r="V350" i="3"/>
  <c r="V334" i="3"/>
  <c r="V318" i="3"/>
  <c r="V302" i="3"/>
  <c r="V286" i="3"/>
  <c r="V270" i="3"/>
  <c r="V254" i="3"/>
  <c r="V238" i="3"/>
  <c r="V222" i="3"/>
  <c r="V206" i="3"/>
  <c r="V190" i="3"/>
  <c r="V174" i="3"/>
  <c r="V158" i="3"/>
  <c r="V142" i="3"/>
  <c r="V126" i="3"/>
  <c r="V110" i="3"/>
  <c r="V94" i="3"/>
  <c r="V78" i="3"/>
  <c r="V62" i="3"/>
  <c r="V46" i="3"/>
  <c r="V30" i="3"/>
  <c r="V14" i="3"/>
  <c r="AC65" i="3"/>
  <c r="AC380" i="3"/>
  <c r="AC37" i="3"/>
  <c r="AC193" i="3"/>
  <c r="K192" i="5" s="1"/>
  <c r="AC343" i="3"/>
  <c r="AC424" i="3"/>
  <c r="K423" i="5" s="1"/>
  <c r="AC389" i="3"/>
  <c r="AC316" i="3"/>
  <c r="AC231" i="3"/>
  <c r="AC145" i="3"/>
  <c r="AC60" i="3"/>
  <c r="AC405" i="3"/>
  <c r="K404" i="5" s="1"/>
  <c r="AC353" i="3"/>
  <c r="AC268" i="3"/>
  <c r="AC183" i="3"/>
  <c r="AC97" i="3"/>
  <c r="AC420" i="3"/>
  <c r="K419" i="5" s="1"/>
  <c r="AC384" i="3"/>
  <c r="AC305" i="3"/>
  <c r="AC220" i="3"/>
  <c r="K219" i="5" s="1"/>
  <c r="AC135" i="3"/>
  <c r="AC45" i="3"/>
  <c r="AC363" i="3"/>
  <c r="AC341" i="3"/>
  <c r="AC320" i="3"/>
  <c r="AC299" i="3"/>
  <c r="AC277" i="3"/>
  <c r="AC256" i="3"/>
  <c r="AC235" i="3"/>
  <c r="AC213" i="3"/>
  <c r="AC192" i="3"/>
  <c r="AC171" i="3"/>
  <c r="AC149" i="3"/>
  <c r="AC128" i="3"/>
  <c r="AC107" i="3"/>
  <c r="AC85" i="3"/>
  <c r="AC64" i="3"/>
  <c r="AC35" i="3"/>
  <c r="AC423" i="3"/>
  <c r="K422" i="5" s="1"/>
  <c r="AC407" i="3"/>
  <c r="K406" i="5" s="1"/>
  <c r="AC388" i="3"/>
  <c r="AC367" i="3"/>
  <c r="AC345" i="3"/>
  <c r="AC324" i="3"/>
  <c r="K323" i="5" s="1"/>
  <c r="AC303" i="3"/>
  <c r="AC281" i="3"/>
  <c r="AC260" i="3"/>
  <c r="AC239" i="3"/>
  <c r="K238" i="5" s="1"/>
  <c r="AC217" i="3"/>
  <c r="AC196" i="3"/>
  <c r="AC175" i="3"/>
  <c r="AC153" i="3"/>
  <c r="AC132" i="3"/>
  <c r="AC111" i="3"/>
  <c r="AC89" i="3"/>
  <c r="AC68" i="3"/>
  <c r="AC41" i="3"/>
  <c r="AC9" i="3"/>
  <c r="AC410" i="3"/>
  <c r="K409" i="5" s="1"/>
  <c r="AC392" i="3"/>
  <c r="AC371" i="3"/>
  <c r="AC349" i="3"/>
  <c r="AC328" i="3"/>
  <c r="AC307" i="3"/>
  <c r="AC285" i="3"/>
  <c r="AC264" i="3"/>
  <c r="AC243" i="3"/>
  <c r="AC221" i="3"/>
  <c r="K220" i="5" s="1"/>
  <c r="AC200" i="3"/>
  <c r="AC179" i="3"/>
  <c r="AC157" i="3"/>
  <c r="AC136" i="3"/>
  <c r="K135" i="5" s="1"/>
  <c r="AC115" i="3"/>
  <c r="AC93" i="3"/>
  <c r="AC72" i="3"/>
  <c r="AC47" i="3"/>
  <c r="AC15" i="3"/>
  <c r="AC48" i="3"/>
  <c r="AC32" i="3"/>
  <c r="AC16" i="3"/>
  <c r="AC398" i="3"/>
  <c r="K397" i="5" s="1"/>
  <c r="AC382" i="3"/>
  <c r="AC366" i="3"/>
  <c r="AC350" i="3"/>
  <c r="AC334" i="3"/>
  <c r="AC318" i="3"/>
  <c r="AC302" i="3"/>
  <c r="AC286" i="3"/>
  <c r="K285" i="5" s="1"/>
  <c r="AC270" i="3"/>
  <c r="AC254" i="3"/>
  <c r="AC238" i="3"/>
  <c r="AC222" i="3"/>
  <c r="K221" i="5" s="1"/>
  <c r="AC206" i="3"/>
  <c r="AC190" i="3"/>
  <c r="AC174" i="3"/>
  <c r="AC158" i="3"/>
  <c r="AC142" i="3"/>
  <c r="AC126" i="3"/>
  <c r="AC110" i="3"/>
  <c r="AC94" i="3"/>
  <c r="AC78" i="3"/>
  <c r="AC62" i="3"/>
  <c r="AC46" i="3"/>
  <c r="AC30" i="3"/>
  <c r="AC14" i="3"/>
  <c r="V388" i="3"/>
  <c r="V324" i="3"/>
  <c r="V348" i="3"/>
  <c r="V121" i="3"/>
  <c r="V340" i="3"/>
  <c r="V105" i="3"/>
  <c r="V332" i="3"/>
  <c r="V89" i="3"/>
  <c r="V401" i="3"/>
  <c r="D400" i="5" s="1"/>
  <c r="V369" i="3"/>
  <c r="V337" i="3"/>
  <c r="V293" i="3"/>
  <c r="V229" i="3"/>
  <c r="V165" i="3"/>
  <c r="V101" i="3"/>
  <c r="V37" i="3"/>
  <c r="V416" i="3"/>
  <c r="D415" i="5" s="1"/>
  <c r="V384" i="3"/>
  <c r="V352" i="3"/>
  <c r="V320" i="3"/>
  <c r="V257" i="3"/>
  <c r="V193" i="3"/>
  <c r="V129" i="3"/>
  <c r="D128" i="5" s="1"/>
  <c r="V65" i="3"/>
  <c r="V421" i="3"/>
  <c r="D420" i="5" s="1"/>
  <c r="V389" i="3"/>
  <c r="D388" i="5" s="1"/>
  <c r="V357" i="3"/>
  <c r="V325" i="3"/>
  <c r="V269" i="3"/>
  <c r="V205" i="3"/>
  <c r="V141" i="3"/>
  <c r="D140" i="5" s="1"/>
  <c r="V77" i="3"/>
  <c r="V13" i="3"/>
  <c r="V304" i="3"/>
  <c r="V288" i="3"/>
  <c r="V272" i="3"/>
  <c r="V256" i="3"/>
  <c r="V240" i="3"/>
  <c r="V224" i="3"/>
  <c r="D223" i="5" s="1"/>
  <c r="V208" i="3"/>
  <c r="V192" i="3"/>
  <c r="V176" i="3"/>
  <c r="V160" i="3"/>
  <c r="D159" i="5" s="1"/>
  <c r="V144" i="3"/>
  <c r="V128" i="3"/>
  <c r="V112" i="3"/>
  <c r="V96" i="3"/>
  <c r="V80" i="3"/>
  <c r="V64" i="3"/>
  <c r="V48" i="3"/>
  <c r="V32" i="3"/>
  <c r="V16" i="3"/>
  <c r="V423" i="3"/>
  <c r="D422" i="5" s="1"/>
  <c r="V407" i="3"/>
  <c r="D406" i="5" s="1"/>
  <c r="V391" i="3"/>
  <c r="V375" i="3"/>
  <c r="V359" i="3"/>
  <c r="V343" i="3"/>
  <c r="V327" i="3"/>
  <c r="D326" i="5" s="1"/>
  <c r="V311" i="3"/>
  <c r="V295" i="3"/>
  <c r="V279" i="3"/>
  <c r="V263" i="3"/>
  <c r="D262" i="5" s="1"/>
  <c r="V247" i="3"/>
  <c r="V231" i="3"/>
  <c r="V215" i="3"/>
  <c r="V199" i="3"/>
  <c r="V183" i="3"/>
  <c r="V167" i="3"/>
  <c r="V151" i="3"/>
  <c r="V135" i="3"/>
  <c r="V119" i="3"/>
  <c r="V103" i="3"/>
  <c r="V87" i="3"/>
  <c r="V71" i="3"/>
  <c r="V55" i="3"/>
  <c r="V39" i="3"/>
  <c r="V23" i="3"/>
  <c r="V7" i="3"/>
  <c r="V410" i="3"/>
  <c r="D409" i="5" s="1"/>
  <c r="V394" i="3"/>
  <c r="D393" i="5" s="1"/>
  <c r="V378" i="3"/>
  <c r="V362" i="3"/>
  <c r="V346" i="3"/>
  <c r="V330" i="3"/>
  <c r="V314" i="3"/>
  <c r="D313" i="5" s="1"/>
  <c r="V298" i="3"/>
  <c r="D297" i="5" s="1"/>
  <c r="V282" i="3"/>
  <c r="V266" i="3"/>
  <c r="V250" i="3"/>
  <c r="V234" i="3"/>
  <c r="V218" i="3"/>
  <c r="V202" i="3"/>
  <c r="V186" i="3"/>
  <c r="V170" i="3"/>
  <c r="D169" i="5" s="1"/>
  <c r="V154" i="3"/>
  <c r="V138" i="3"/>
  <c r="V122" i="3"/>
  <c r="V106" i="3"/>
  <c r="V90" i="3"/>
  <c r="V74" i="3"/>
  <c r="V58" i="3"/>
  <c r="V42" i="3"/>
  <c r="V26" i="3"/>
  <c r="V10" i="3"/>
  <c r="AC321" i="3"/>
  <c r="AC300" i="3"/>
  <c r="AC409" i="3"/>
  <c r="K408" i="5" s="1"/>
  <c r="AC108" i="3"/>
  <c r="AC257" i="3"/>
  <c r="AC416" i="3"/>
  <c r="K415" i="5" s="1"/>
  <c r="AC379" i="3"/>
  <c r="AC295" i="3"/>
  <c r="AC209" i="3"/>
  <c r="AC124" i="3"/>
  <c r="K123" i="5" s="1"/>
  <c r="AC29" i="3"/>
  <c r="AC396" i="3"/>
  <c r="K395" i="5" s="1"/>
  <c r="AC332" i="3"/>
  <c r="K331" i="5" s="1"/>
  <c r="AC247" i="3"/>
  <c r="K246" i="5" s="1"/>
  <c r="AC161" i="3"/>
  <c r="AC76" i="3"/>
  <c r="AC412" i="3"/>
  <c r="K411" i="5" s="1"/>
  <c r="AC369" i="3"/>
  <c r="AC284" i="3"/>
  <c r="AC199" i="3"/>
  <c r="AC113" i="3"/>
  <c r="AC13" i="3"/>
  <c r="AC357" i="3"/>
  <c r="AC336" i="3"/>
  <c r="AC315" i="3"/>
  <c r="AC293" i="3"/>
  <c r="K292" i="5" s="1"/>
  <c r="AC272" i="3"/>
  <c r="K271" i="5" s="1"/>
  <c r="AC251" i="3"/>
  <c r="AC229" i="3"/>
  <c r="AC208" i="3"/>
  <c r="AC187" i="3"/>
  <c r="AC165" i="3"/>
  <c r="K164" i="5" s="1"/>
  <c r="AC144" i="3"/>
  <c r="AC123" i="3"/>
  <c r="AC101" i="3"/>
  <c r="AC80" i="3"/>
  <c r="AC59" i="3"/>
  <c r="AC27" i="3"/>
  <c r="AC419" i="3"/>
  <c r="K418" i="5" s="1"/>
  <c r="AC403" i="3"/>
  <c r="K402" i="5" s="1"/>
  <c r="AC383" i="3"/>
  <c r="K382" i="5" s="1"/>
  <c r="AC361" i="3"/>
  <c r="K360" i="5" s="1"/>
  <c r="AC340" i="3"/>
  <c r="AC319" i="3"/>
  <c r="AC297" i="3"/>
  <c r="K296" i="5" s="1"/>
  <c r="AC276" i="3"/>
  <c r="AC255" i="3"/>
  <c r="K254" i="5" s="1"/>
  <c r="AC233" i="3"/>
  <c r="AC212" i="3"/>
  <c r="AC191" i="3"/>
  <c r="K190" i="5" s="1"/>
  <c r="AC169" i="3"/>
  <c r="AC148" i="3"/>
  <c r="AC127" i="3"/>
  <c r="AC105" i="3"/>
  <c r="AC84" i="3"/>
  <c r="AC63" i="3"/>
  <c r="AC33" i="3"/>
  <c r="AC422" i="3"/>
  <c r="K421" i="5" s="1"/>
  <c r="AC406" i="3"/>
  <c r="K405" i="5" s="1"/>
  <c r="AC387" i="3"/>
  <c r="AC365" i="3"/>
  <c r="AC344" i="3"/>
  <c r="AC323" i="3"/>
  <c r="AC301" i="3"/>
  <c r="AC280" i="3"/>
  <c r="AC259" i="3"/>
  <c r="AC237" i="3"/>
  <c r="AC216" i="3"/>
  <c r="K215" i="5" s="1"/>
  <c r="AC195" i="3"/>
  <c r="AC173" i="3"/>
  <c r="AC152" i="3"/>
  <c r="AC131" i="3"/>
  <c r="AC109" i="3"/>
  <c r="AC88" i="3"/>
  <c r="AC67" i="3"/>
  <c r="AC39" i="3"/>
  <c r="AC7" i="3"/>
  <c r="AC44" i="3"/>
  <c r="AC28" i="3"/>
  <c r="AC12" i="3"/>
  <c r="AC394" i="3"/>
  <c r="K393" i="5" s="1"/>
  <c r="AC378" i="3"/>
  <c r="AC362" i="3"/>
  <c r="AC346" i="3"/>
  <c r="AC330" i="3"/>
  <c r="K329" i="5" s="1"/>
  <c r="AC314" i="3"/>
  <c r="K313" i="5" s="1"/>
  <c r="AC298" i="3"/>
  <c r="AC282" i="3"/>
  <c r="K281" i="5" s="1"/>
  <c r="AC266" i="3"/>
  <c r="AC250" i="3"/>
  <c r="AC234" i="3"/>
  <c r="K233" i="5" s="1"/>
  <c r="AC218" i="3"/>
  <c r="AC202" i="3"/>
  <c r="AC186" i="3"/>
  <c r="AC170" i="3"/>
  <c r="AC154" i="3"/>
  <c r="K153" i="5" s="1"/>
  <c r="AC138" i="3"/>
  <c r="AC122" i="3"/>
  <c r="K121" i="5" s="1"/>
  <c r="AC106" i="3"/>
  <c r="AC90" i="3"/>
  <c r="AC74" i="3"/>
  <c r="AC58" i="3"/>
  <c r="AC42" i="3"/>
  <c r="AC26" i="3"/>
  <c r="V420" i="3"/>
  <c r="D419" i="5" s="1"/>
  <c r="V201" i="3"/>
  <c r="V73" i="3"/>
  <c r="V313" i="3"/>
  <c r="V57" i="3"/>
  <c r="V297" i="3"/>
  <c r="D296" i="5" s="1"/>
  <c r="V41" i="3"/>
  <c r="V281" i="3"/>
  <c r="V25" i="3"/>
  <c r="V393" i="3"/>
  <c r="D392" i="5" s="1"/>
  <c r="V361" i="3"/>
  <c r="V329" i="3"/>
  <c r="V277" i="3"/>
  <c r="V213" i="3"/>
  <c r="V149" i="3"/>
  <c r="V85" i="3"/>
  <c r="V21" i="3"/>
  <c r="V408" i="3"/>
  <c r="D407" i="5" s="1"/>
  <c r="V376" i="3"/>
  <c r="V344" i="3"/>
  <c r="V305" i="3"/>
  <c r="D304" i="5" s="1"/>
  <c r="V241" i="3"/>
  <c r="V177" i="3"/>
  <c r="V113" i="3"/>
  <c r="V49" i="3"/>
  <c r="V413" i="3"/>
  <c r="D412" i="5" s="1"/>
  <c r="V381" i="3"/>
  <c r="V349" i="3"/>
  <c r="V317" i="3"/>
  <c r="V253" i="3"/>
  <c r="V189" i="3"/>
  <c r="V125" i="3"/>
  <c r="D124" i="5" s="1"/>
  <c r="V61" i="3"/>
  <c r="V316" i="3"/>
  <c r="D315" i="5" s="1"/>
  <c r="V300" i="3"/>
  <c r="V284" i="3"/>
  <c r="V268" i="3"/>
  <c r="V252" i="3"/>
  <c r="V236" i="3"/>
  <c r="V220" i="3"/>
  <c r="V204" i="3"/>
  <c r="V188" i="3"/>
  <c r="V172" i="3"/>
  <c r="V156" i="3"/>
  <c r="V140" i="3"/>
  <c r="V124" i="3"/>
  <c r="V108" i="3"/>
  <c r="V92" i="3"/>
  <c r="V76" i="3"/>
  <c r="V60" i="3"/>
  <c r="V44" i="3"/>
  <c r="V28" i="3"/>
  <c r="V12" i="3"/>
  <c r="V419" i="3"/>
  <c r="D418" i="5" s="1"/>
  <c r="V403" i="3"/>
  <c r="D402" i="5" s="1"/>
  <c r="V387" i="3"/>
  <c r="V371" i="3"/>
  <c r="D370" i="5" s="1"/>
  <c r="V355" i="3"/>
  <c r="V339" i="3"/>
  <c r="V323" i="3"/>
  <c r="V307" i="3"/>
  <c r="V291" i="3"/>
  <c r="V275" i="3"/>
  <c r="V259" i="3"/>
  <c r="V243" i="3"/>
  <c r="V227" i="3"/>
  <c r="V211" i="3"/>
  <c r="V195" i="3"/>
  <c r="V179" i="3"/>
  <c r="V163" i="3"/>
  <c r="V147" i="3"/>
  <c r="V131" i="3"/>
  <c r="V115" i="3"/>
  <c r="V99" i="3"/>
  <c r="V83" i="3"/>
  <c r="V67" i="3"/>
  <c r="V51" i="3"/>
  <c r="V35" i="3"/>
  <c r="V19" i="3"/>
  <c r="V422" i="3"/>
  <c r="V406" i="3"/>
  <c r="D405" i="5" s="1"/>
  <c r="V390" i="3"/>
  <c r="V374" i="3"/>
  <c r="D373" i="5" s="1"/>
  <c r="V358" i="3"/>
  <c r="D310" i="5" s="1"/>
  <c r="V342" i="3"/>
  <c r="V326" i="3"/>
  <c r="D325" i="5" s="1"/>
  <c r="V310" i="3"/>
  <c r="V294" i="3"/>
  <c r="V278" i="3"/>
  <c r="V262" i="3"/>
  <c r="V246" i="3"/>
  <c r="V230" i="3"/>
  <c r="V214" i="3"/>
  <c r="V198" i="3"/>
  <c r="V182" i="3"/>
  <c r="V166" i="3"/>
  <c r="V150" i="3"/>
  <c r="V134" i="3"/>
  <c r="V118" i="3"/>
  <c r="V102" i="3"/>
  <c r="V86" i="3"/>
  <c r="V70" i="3"/>
  <c r="V54" i="3"/>
  <c r="V38" i="3"/>
  <c r="V22" i="3"/>
  <c r="O432" i="3"/>
  <c r="D202" i="5"/>
  <c r="D300" i="5"/>
  <c r="K189" i="5"/>
  <c r="K157" i="5"/>
  <c r="K370" i="5"/>
  <c r="K338" i="5"/>
  <c r="K274" i="5"/>
  <c r="K210" i="5"/>
  <c r="K350" i="5"/>
  <c r="K286" i="5"/>
  <c r="K372" i="5"/>
  <c r="K356" i="5"/>
  <c r="K340" i="5"/>
  <c r="K244" i="5"/>
  <c r="K212" i="5"/>
  <c r="K196" i="5"/>
  <c r="K148" i="5"/>
  <c r="K132" i="5"/>
  <c r="K351" i="5"/>
  <c r="K303" i="5"/>
  <c r="K287" i="5"/>
  <c r="K255" i="5"/>
  <c r="K223" i="5"/>
  <c r="K159" i="5"/>
  <c r="D160" i="5"/>
  <c r="D264" i="5"/>
  <c r="K309" i="5"/>
  <c r="K277" i="5"/>
  <c r="K245" i="5"/>
  <c r="K213" i="5"/>
  <c r="K149" i="5"/>
  <c r="K117" i="5"/>
  <c r="K234" i="5"/>
  <c r="K202" i="5"/>
  <c r="K170" i="5"/>
  <c r="K138" i="5"/>
  <c r="K385" i="5"/>
  <c r="K257" i="5"/>
  <c r="K225" i="5"/>
  <c r="K193" i="5"/>
  <c r="K129" i="5"/>
  <c r="K374" i="5"/>
  <c r="K342" i="5"/>
  <c r="K278" i="5"/>
  <c r="K150" i="5"/>
  <c r="K368" i="5"/>
  <c r="K352" i="5"/>
  <c r="K336" i="5"/>
  <c r="K320" i="5"/>
  <c r="K288" i="5"/>
  <c r="K272" i="5"/>
  <c r="K176" i="5"/>
  <c r="K160" i="5"/>
  <c r="K144" i="5"/>
  <c r="K128" i="5"/>
  <c r="K379" i="5"/>
  <c r="K347" i="5"/>
  <c r="K283" i="5"/>
  <c r="K267" i="5"/>
  <c r="K235" i="5"/>
  <c r="K203" i="5"/>
  <c r="K187" i="5"/>
  <c r="K171" i="5"/>
  <c r="D201" i="5"/>
  <c r="D282" i="5"/>
  <c r="D389" i="5"/>
  <c r="D319" i="5"/>
  <c r="D172" i="5"/>
  <c r="D287" i="5"/>
  <c r="K333" i="5"/>
  <c r="K301" i="5"/>
  <c r="K269" i="5"/>
  <c r="K205" i="5"/>
  <c r="K141" i="5"/>
  <c r="K386" i="5"/>
  <c r="K322" i="5"/>
  <c r="K226" i="5"/>
  <c r="K162" i="5"/>
  <c r="K130" i="5"/>
  <c r="K366" i="5"/>
  <c r="K334" i="5"/>
  <c r="K302" i="5"/>
  <c r="K206" i="5"/>
  <c r="K142" i="5"/>
  <c r="K348" i="5"/>
  <c r="K332" i="5"/>
  <c r="K284" i="5"/>
  <c r="K268" i="5"/>
  <c r="K236" i="5"/>
  <c r="K188" i="5"/>
  <c r="K172" i="5"/>
  <c r="K140" i="5"/>
  <c r="K124" i="5"/>
  <c r="K359" i="5"/>
  <c r="K295" i="5"/>
  <c r="K263" i="5"/>
  <c r="K247" i="5"/>
  <c r="K199" i="5"/>
  <c r="K183" i="5"/>
  <c r="D265" i="5"/>
  <c r="D180" i="5"/>
  <c r="D306" i="5"/>
  <c r="D136" i="5"/>
  <c r="D272" i="5"/>
  <c r="D384" i="5"/>
  <c r="D320" i="5"/>
  <c r="D271" i="5"/>
  <c r="D207" i="5"/>
  <c r="D143" i="5"/>
  <c r="K389" i="5"/>
  <c r="K325" i="5"/>
  <c r="K293" i="5"/>
  <c r="K261" i="5"/>
  <c r="K197" i="5"/>
  <c r="K133" i="5"/>
  <c r="K378" i="5"/>
  <c r="K282" i="5"/>
  <c r="K250" i="5"/>
  <c r="K218" i="5"/>
  <c r="K186" i="5"/>
  <c r="K122" i="5"/>
  <c r="K369" i="5"/>
  <c r="K305" i="5"/>
  <c r="K241" i="5"/>
  <c r="K177" i="5"/>
  <c r="K358" i="5"/>
  <c r="K326" i="5"/>
  <c r="K294" i="5"/>
  <c r="K230" i="5"/>
  <c r="K198" i="5"/>
  <c r="K166" i="5"/>
  <c r="K134" i="5"/>
  <c r="K344" i="5"/>
  <c r="K312" i="5"/>
  <c r="K280" i="5"/>
  <c r="K264" i="5"/>
  <c r="K232" i="5"/>
  <c r="K216" i="5"/>
  <c r="K200" i="5"/>
  <c r="K168" i="5"/>
  <c r="K152" i="5"/>
  <c r="K120" i="5"/>
  <c r="K371" i="5"/>
  <c r="K355" i="5"/>
  <c r="K339" i="5"/>
  <c r="K291" i="5"/>
  <c r="K275" i="5"/>
  <c r="K227" i="5"/>
  <c r="K179" i="5"/>
  <c r="K147" i="5"/>
  <c r="K131" i="5"/>
  <c r="D335" i="5"/>
  <c r="D218" i="5"/>
  <c r="D176" i="5"/>
  <c r="D364" i="5"/>
  <c r="D348" i="5"/>
  <c r="D273" i="5"/>
  <c r="D209" i="5"/>
  <c r="D299" i="5"/>
  <c r="D187" i="5"/>
  <c r="D217" i="5"/>
  <c r="D174" i="5"/>
  <c r="D132" i="5"/>
  <c r="D351" i="5"/>
  <c r="D385" i="5"/>
  <c r="D369" i="5"/>
  <c r="D353" i="5"/>
  <c r="D258" i="5"/>
  <c r="D216" i="5"/>
  <c r="D382" i="5"/>
  <c r="D350" i="5"/>
  <c r="D334" i="5"/>
  <c r="D254" i="5"/>
  <c r="D233" i="5"/>
  <c r="D190" i="5"/>
  <c r="D148" i="5"/>
  <c r="D126" i="5"/>
  <c r="D343" i="5"/>
  <c r="D266" i="5"/>
  <c r="D138" i="5"/>
  <c r="D349" i="5"/>
  <c r="D253" i="5"/>
  <c r="D189" i="5"/>
  <c r="D168" i="5"/>
  <c r="D146" i="5"/>
  <c r="D125" i="5"/>
  <c r="D298" i="5"/>
  <c r="D208" i="5"/>
  <c r="D376" i="5"/>
  <c r="D360" i="5"/>
  <c r="D344" i="5"/>
  <c r="D289" i="5"/>
  <c r="D246" i="5"/>
  <c r="D225" i="5"/>
  <c r="D182" i="5"/>
  <c r="D161" i="5"/>
  <c r="D118" i="5"/>
  <c r="D279" i="5"/>
  <c r="D263" i="5"/>
  <c r="D231" i="5"/>
  <c r="D215" i="5"/>
  <c r="D199" i="5"/>
  <c r="D167" i="5"/>
  <c r="D151" i="5"/>
  <c r="D135" i="5"/>
  <c r="D354" i="5"/>
  <c r="D322" i="5"/>
  <c r="D281" i="5"/>
  <c r="D153" i="5"/>
  <c r="D383" i="5"/>
  <c r="D314" i="5"/>
  <c r="D234" i="5"/>
  <c r="D280" i="5"/>
  <c r="D237" i="5"/>
  <c r="D130" i="5"/>
  <c r="D379" i="5"/>
  <c r="D309" i="5"/>
  <c r="D362" i="5"/>
  <c r="D346" i="5"/>
  <c r="D292" i="5"/>
  <c r="D270" i="5"/>
  <c r="D206" i="5"/>
  <c r="D142" i="5"/>
  <c r="D293" i="5"/>
  <c r="D170" i="5"/>
  <c r="D361" i="5"/>
  <c r="D345" i="5"/>
  <c r="D329" i="5"/>
  <c r="D312" i="5"/>
  <c r="D269" i="5"/>
  <c r="D248" i="5"/>
  <c r="D205" i="5"/>
  <c r="D141" i="5"/>
  <c r="D120" i="5"/>
  <c r="D363" i="5"/>
  <c r="D240" i="5"/>
  <c r="D154" i="5"/>
  <c r="D324" i="5"/>
  <c r="D305" i="5"/>
  <c r="D284" i="5"/>
  <c r="D241" i="5"/>
  <c r="D220" i="5"/>
  <c r="D198" i="5"/>
  <c r="D177" i="5"/>
  <c r="D156" i="5"/>
  <c r="D134" i="5"/>
  <c r="D259" i="5"/>
  <c r="D243" i="5"/>
  <c r="D195" i="5"/>
  <c r="D179" i="5"/>
  <c r="D131" i="5"/>
  <c r="P432" i="3"/>
  <c r="S432" i="3"/>
  <c r="R432" i="3"/>
  <c r="Q432" i="3"/>
  <c r="N432" i="3"/>
  <c r="AC3" i="3"/>
  <c r="V3" i="3"/>
  <c r="D374" i="5" l="1"/>
  <c r="D421" i="5"/>
  <c r="K310" i="5"/>
  <c r="K314" i="5"/>
  <c r="D307" i="5"/>
  <c r="D162" i="5"/>
  <c r="D377" i="5"/>
  <c r="D328" i="5"/>
  <c r="D333" i="5"/>
  <c r="D235" i="5"/>
  <c r="D245" i="5"/>
  <c r="K249" i="5"/>
  <c r="K321" i="5"/>
  <c r="K207" i="5"/>
  <c r="D210" i="5"/>
  <c r="D386" i="5"/>
  <c r="D252" i="5"/>
  <c r="D261" i="5"/>
  <c r="D291" i="5"/>
  <c r="D197" i="5"/>
  <c r="D226" i="5"/>
  <c r="D371" i="5"/>
  <c r="D274" i="5"/>
  <c r="D365" i="5"/>
  <c r="D181" i="5"/>
  <c r="D212" i="5"/>
  <c r="D123" i="5"/>
  <c r="D251" i="5"/>
  <c r="D188" i="5"/>
  <c r="D133" i="5"/>
  <c r="K151" i="5"/>
  <c r="K185" i="5"/>
  <c r="K258" i="5"/>
  <c r="K384" i="5"/>
  <c r="K330" i="5"/>
  <c r="K361" i="5"/>
  <c r="D149" i="5"/>
  <c r="D213" i="5"/>
  <c r="D277" i="5"/>
  <c r="D294" i="5"/>
  <c r="D358" i="5"/>
  <c r="D178" i="5"/>
  <c r="D242" i="5"/>
  <c r="D323" i="5"/>
  <c r="D139" i="5"/>
  <c r="D203" i="5"/>
  <c r="D267" i="5"/>
  <c r="D391" i="5"/>
  <c r="D276" i="5"/>
  <c r="D372" i="5"/>
  <c r="K137" i="5"/>
  <c r="K201" i="5"/>
  <c r="K265" i="5"/>
  <c r="K346" i="5"/>
  <c r="K194" i="5"/>
  <c r="K279" i="5"/>
  <c r="K317" i="5"/>
  <c r="K126" i="5"/>
  <c r="K211" i="5"/>
  <c r="K383" i="5"/>
  <c r="K335" i="5"/>
  <c r="K143" i="5"/>
  <c r="K228" i="5"/>
  <c r="K364" i="5"/>
  <c r="K208" i="5"/>
  <c r="K256" i="5"/>
  <c r="D121" i="5"/>
  <c r="D185" i="5"/>
  <c r="D249" i="5"/>
  <c r="D330" i="5"/>
  <c r="D150" i="5"/>
  <c r="D214" i="5"/>
  <c r="D278" i="5"/>
  <c r="D295" i="5"/>
  <c r="D359" i="5"/>
  <c r="D175" i="5"/>
  <c r="D239" i="5"/>
  <c r="D390" i="5"/>
  <c r="D204" i="5"/>
  <c r="D341" i="5"/>
  <c r="D192" i="5"/>
  <c r="D336" i="5"/>
  <c r="D164" i="5"/>
  <c r="D321" i="5"/>
  <c r="K173" i="5"/>
  <c r="K237" i="5"/>
  <c r="K388" i="5"/>
  <c r="K318" i="5"/>
  <c r="K156" i="5"/>
  <c r="K242" i="5"/>
  <c r="K362" i="5"/>
  <c r="K174" i="5"/>
  <c r="K259" i="5"/>
  <c r="K297" i="5"/>
  <c r="K375" i="5"/>
  <c r="K191" i="5"/>
  <c r="K276" i="5"/>
  <c r="K315" i="5"/>
  <c r="K391" i="5"/>
  <c r="K182" i="5"/>
  <c r="K341" i="5"/>
  <c r="D157" i="5"/>
  <c r="D221" i="5"/>
  <c r="D285" i="5"/>
  <c r="D302" i="5"/>
  <c r="D366" i="5"/>
  <c r="D122" i="5"/>
  <c r="D186" i="5"/>
  <c r="D250" i="5"/>
  <c r="D331" i="5"/>
  <c r="D147" i="5"/>
  <c r="D211" i="5"/>
  <c r="D275" i="5"/>
  <c r="D152" i="5"/>
  <c r="D184" i="5"/>
  <c r="K145" i="5"/>
  <c r="K209" i="5"/>
  <c r="K273" i="5"/>
  <c r="K290" i="5"/>
  <c r="K119" i="5"/>
  <c r="K204" i="5"/>
  <c r="K377" i="5"/>
  <c r="K328" i="5"/>
  <c r="K136" i="5"/>
  <c r="K222" i="5"/>
  <c r="K345" i="5"/>
  <c r="K154" i="5"/>
  <c r="K239" i="5"/>
  <c r="K155" i="5"/>
  <c r="K327" i="5"/>
  <c r="K353" i="5"/>
  <c r="K343" i="5"/>
  <c r="D129" i="5"/>
  <c r="D193" i="5"/>
  <c r="D257" i="5"/>
  <c r="D338" i="5"/>
  <c r="D158" i="5"/>
  <c r="D222" i="5"/>
  <c r="D286" i="5"/>
  <c r="D303" i="5"/>
  <c r="D367" i="5"/>
  <c r="D119" i="5"/>
  <c r="D183" i="5"/>
  <c r="D247" i="5"/>
  <c r="D236" i="5"/>
  <c r="D357" i="5"/>
  <c r="D224" i="5"/>
  <c r="D352" i="5"/>
  <c r="D196" i="5"/>
  <c r="D337" i="5"/>
  <c r="D232" i="5"/>
  <c r="D308" i="5"/>
  <c r="K165" i="5"/>
  <c r="K229" i="5"/>
  <c r="K380" i="5"/>
  <c r="K146" i="5"/>
  <c r="K231" i="5"/>
  <c r="K354" i="5"/>
  <c r="K163" i="5"/>
  <c r="K248" i="5"/>
  <c r="K367" i="5"/>
  <c r="K180" i="5"/>
  <c r="K266" i="5"/>
  <c r="K304" i="5"/>
  <c r="K262" i="5"/>
  <c r="K139" i="5"/>
  <c r="K373" i="5"/>
  <c r="K311" i="5"/>
  <c r="K316" i="5"/>
  <c r="D117" i="5"/>
  <c r="D171" i="5"/>
  <c r="D342" i="5"/>
  <c r="D355" i="5"/>
  <c r="D165" i="5"/>
  <c r="D229" i="5"/>
  <c r="D380" i="5"/>
  <c r="D194" i="5"/>
  <c r="D339" i="5"/>
  <c r="D155" i="5"/>
  <c r="D219" i="5"/>
  <c r="D283" i="5"/>
  <c r="D301" i="5"/>
  <c r="K217" i="5"/>
  <c r="K298" i="5"/>
  <c r="K387" i="5"/>
  <c r="K381" i="5"/>
  <c r="D137" i="5"/>
  <c r="D166" i="5"/>
  <c r="D230" i="5"/>
  <c r="D381" i="5"/>
  <c r="D311" i="5"/>
  <c r="D375" i="5"/>
  <c r="D127" i="5"/>
  <c r="D191" i="5"/>
  <c r="D255" i="5"/>
  <c r="D268" i="5"/>
  <c r="D256" i="5"/>
  <c r="D368" i="5"/>
  <c r="D228" i="5"/>
  <c r="D340" i="5"/>
  <c r="K125" i="5"/>
  <c r="K253" i="5"/>
  <c r="K178" i="5"/>
  <c r="K195" i="5"/>
  <c r="K319" i="5"/>
  <c r="K127" i="5"/>
  <c r="K376" i="5"/>
  <c r="D173" i="5"/>
  <c r="D318" i="5"/>
  <c r="D347" i="5"/>
  <c r="D163" i="5"/>
  <c r="D227" i="5"/>
  <c r="D378" i="5"/>
  <c r="D317" i="5"/>
  <c r="D144" i="5"/>
  <c r="D116" i="5"/>
  <c r="D316" i="5"/>
  <c r="D332" i="5"/>
  <c r="K161" i="5"/>
  <c r="K289" i="5"/>
  <c r="K306" i="5"/>
  <c r="K349" i="5"/>
  <c r="K158" i="5"/>
  <c r="K243" i="5"/>
  <c r="K363" i="5"/>
  <c r="K175" i="5"/>
  <c r="K260" i="5"/>
  <c r="K299" i="5"/>
  <c r="K240" i="5"/>
  <c r="K118" i="5"/>
  <c r="K365" i="5"/>
  <c r="D145" i="5"/>
  <c r="D290" i="5"/>
  <c r="D238" i="5"/>
  <c r="D387" i="5"/>
  <c r="D288" i="5"/>
  <c r="D260" i="5"/>
  <c r="D356" i="5"/>
  <c r="K181" i="5"/>
  <c r="K167" i="5"/>
  <c r="K252" i="5"/>
  <c r="K184" i="5"/>
  <c r="K270" i="5"/>
  <c r="K308" i="5"/>
  <c r="K116" i="5"/>
  <c r="K300" i="5"/>
  <c r="K224" i="5"/>
  <c r="K214" i="5"/>
  <c r="K169" i="5"/>
  <c r="D200" i="5"/>
  <c r="AA3" i="3"/>
  <c r="I2" i="5" s="1"/>
  <c r="AA17" i="3"/>
  <c r="I16" i="5" s="1"/>
  <c r="AA33" i="3"/>
  <c r="AA49" i="3"/>
  <c r="AA65" i="3"/>
  <c r="I64" i="5" s="1"/>
  <c r="AA81" i="3"/>
  <c r="AA97" i="3"/>
  <c r="AA113" i="3"/>
  <c r="AA129" i="3"/>
  <c r="I128" i="5" s="1"/>
  <c r="AA145" i="3"/>
  <c r="I144" i="5" s="1"/>
  <c r="AA161" i="3"/>
  <c r="AA177" i="3"/>
  <c r="AA193" i="3"/>
  <c r="I192" i="5" s="1"/>
  <c r="AA209" i="3"/>
  <c r="I208" i="5" s="1"/>
  <c r="AA225" i="3"/>
  <c r="AA241" i="3"/>
  <c r="AA257" i="3"/>
  <c r="I256" i="5" s="1"/>
  <c r="AA273" i="3"/>
  <c r="I272" i="5" s="1"/>
  <c r="AA289" i="3"/>
  <c r="AA305" i="3"/>
  <c r="AA321" i="3"/>
  <c r="AA5" i="3"/>
  <c r="I4" i="5" s="1"/>
  <c r="AA21" i="3"/>
  <c r="AA37" i="3"/>
  <c r="AA53" i="3"/>
  <c r="I52" i="5" s="1"/>
  <c r="AA69" i="3"/>
  <c r="I68" i="5" s="1"/>
  <c r="AA85" i="3"/>
  <c r="AA101" i="3"/>
  <c r="AA117" i="3"/>
  <c r="I116" i="5" s="1"/>
  <c r="AA133" i="3"/>
  <c r="I132" i="5" s="1"/>
  <c r="AA149" i="3"/>
  <c r="AA165" i="3"/>
  <c r="AA181" i="3"/>
  <c r="I180" i="5" s="1"/>
  <c r="AA197" i="3"/>
  <c r="I196" i="5" s="1"/>
  <c r="AA213" i="3"/>
  <c r="AA229" i="3"/>
  <c r="AA245" i="3"/>
  <c r="I244" i="5" s="1"/>
  <c r="AA261" i="3"/>
  <c r="I260" i="5" s="1"/>
  <c r="AA277" i="3"/>
  <c r="AA293" i="3"/>
  <c r="AA309" i="3"/>
  <c r="AA325" i="3"/>
  <c r="AA9" i="3"/>
  <c r="AA25" i="3"/>
  <c r="AA41" i="3"/>
  <c r="I40" i="5" s="1"/>
  <c r="AA57" i="3"/>
  <c r="I56" i="5" s="1"/>
  <c r="AA73" i="3"/>
  <c r="AA89" i="3"/>
  <c r="AA105" i="3"/>
  <c r="I104" i="5" s="1"/>
  <c r="AA121" i="3"/>
  <c r="I120" i="5" s="1"/>
  <c r="AA137" i="3"/>
  <c r="AA153" i="3"/>
  <c r="AA169" i="3"/>
  <c r="I168" i="5" s="1"/>
  <c r="AA185" i="3"/>
  <c r="I184" i="5" s="1"/>
  <c r="AA201" i="3"/>
  <c r="AA217" i="3"/>
  <c r="AA233" i="3"/>
  <c r="I232" i="5" s="1"/>
  <c r="AA249" i="3"/>
  <c r="I248" i="5" s="1"/>
  <c r="AA265" i="3"/>
  <c r="AA281" i="3"/>
  <c r="AA297" i="3"/>
  <c r="AA313" i="3"/>
  <c r="I312" i="5" s="1"/>
  <c r="AA329" i="3"/>
  <c r="AA345" i="3"/>
  <c r="AA361" i="3"/>
  <c r="AA377" i="3"/>
  <c r="I376" i="5" s="1"/>
  <c r="AA393" i="3"/>
  <c r="I392" i="5" s="1"/>
  <c r="AA409" i="3"/>
  <c r="I408" i="5" s="1"/>
  <c r="AA6" i="3"/>
  <c r="I5" i="5" s="1"/>
  <c r="AA22" i="3"/>
  <c r="I21" i="5" s="1"/>
  <c r="AA38" i="3"/>
  <c r="AA54" i="3"/>
  <c r="AA70" i="3"/>
  <c r="I69" i="5" s="1"/>
  <c r="AA86" i="3"/>
  <c r="I85" i="5" s="1"/>
  <c r="AA102" i="3"/>
  <c r="AA118" i="3"/>
  <c r="AA13" i="3"/>
  <c r="I12" i="5" s="1"/>
  <c r="AA29" i="3"/>
  <c r="AA45" i="3"/>
  <c r="AA61" i="3"/>
  <c r="AA77" i="3"/>
  <c r="I76" i="5" s="1"/>
  <c r="AA93" i="3"/>
  <c r="I92" i="5" s="1"/>
  <c r="AA109" i="3"/>
  <c r="AA125" i="3"/>
  <c r="AA141" i="3"/>
  <c r="I140" i="5" s="1"/>
  <c r="AA157" i="3"/>
  <c r="I156" i="5" s="1"/>
  <c r="AA173" i="3"/>
  <c r="AA189" i="3"/>
  <c r="AA205" i="3"/>
  <c r="I204" i="5" s="1"/>
  <c r="AA221" i="3"/>
  <c r="I220" i="5" s="1"/>
  <c r="AA237" i="3"/>
  <c r="AA253" i="3"/>
  <c r="AA269" i="3"/>
  <c r="AA285" i="3"/>
  <c r="I284" i="5" s="1"/>
  <c r="AA301" i="3"/>
  <c r="AA317" i="3"/>
  <c r="AA333" i="3"/>
  <c r="AA349" i="3"/>
  <c r="AA365" i="3"/>
  <c r="AA381" i="3"/>
  <c r="AA397" i="3"/>
  <c r="I396" i="5" s="1"/>
  <c r="AA413" i="3"/>
  <c r="I412" i="5" s="1"/>
  <c r="AA10" i="3"/>
  <c r="AA26" i="3"/>
  <c r="AA42" i="3"/>
  <c r="AA58" i="3"/>
  <c r="AA74" i="3"/>
  <c r="AA90" i="3"/>
  <c r="AA106" i="3"/>
  <c r="AA122" i="3"/>
  <c r="I121" i="5" s="1"/>
  <c r="AA24" i="3"/>
  <c r="AA404" i="3"/>
  <c r="I403" i="5" s="1"/>
  <c r="AA298" i="3"/>
  <c r="AA378" i="3"/>
  <c r="AA292" i="3"/>
  <c r="AA72" i="3"/>
  <c r="AA372" i="3"/>
  <c r="AA287" i="3"/>
  <c r="I286" i="5" s="1"/>
  <c r="AA56" i="3"/>
  <c r="AA346" i="3"/>
  <c r="AA232" i="3"/>
  <c r="I231" i="5" s="1"/>
  <c r="AA424" i="3"/>
  <c r="I423" i="5" s="1"/>
  <c r="AA403" i="3"/>
  <c r="I402" i="5" s="1"/>
  <c r="AA382" i="3"/>
  <c r="AA360" i="3"/>
  <c r="AA339" i="3"/>
  <c r="AA318" i="3"/>
  <c r="AA296" i="3"/>
  <c r="AA275" i="3"/>
  <c r="I274" i="5" s="1"/>
  <c r="AA212" i="3"/>
  <c r="I211" i="5" s="1"/>
  <c r="AA148" i="3"/>
  <c r="AA84" i="3"/>
  <c r="AA20" i="3"/>
  <c r="I19" i="5" s="1"/>
  <c r="AA412" i="3"/>
  <c r="I411" i="5" s="1"/>
  <c r="AA391" i="3"/>
  <c r="AA370" i="3"/>
  <c r="AA348" i="3"/>
  <c r="I300" i="5" s="1"/>
  <c r="AA327" i="3"/>
  <c r="AA306" i="3"/>
  <c r="AA284" i="3"/>
  <c r="AA240" i="3"/>
  <c r="I239" i="5" s="1"/>
  <c r="AA176" i="3"/>
  <c r="I175" i="5" s="1"/>
  <c r="AA112" i="3"/>
  <c r="AA48" i="3"/>
  <c r="AA416" i="3"/>
  <c r="I415" i="5" s="1"/>
  <c r="AA395" i="3"/>
  <c r="I394" i="5" s="1"/>
  <c r="AA374" i="3"/>
  <c r="AA352" i="3"/>
  <c r="AA331" i="3"/>
  <c r="AA310" i="3"/>
  <c r="AA288" i="3"/>
  <c r="AA252" i="3"/>
  <c r="AA188" i="3"/>
  <c r="I187" i="5" s="1"/>
  <c r="AA124" i="3"/>
  <c r="I123" i="5" s="1"/>
  <c r="AA60" i="3"/>
  <c r="AA271" i="3"/>
  <c r="AA255" i="3"/>
  <c r="I254" i="5" s="1"/>
  <c r="AA239" i="3"/>
  <c r="I238" i="5" s="1"/>
  <c r="AA223" i="3"/>
  <c r="AA207" i="3"/>
  <c r="AA191" i="3"/>
  <c r="I190" i="5" s="1"/>
  <c r="AA175" i="3"/>
  <c r="AA159" i="3"/>
  <c r="AA143" i="3"/>
  <c r="AA127" i="3"/>
  <c r="I126" i="5" s="1"/>
  <c r="AA111" i="3"/>
  <c r="AA95" i="3"/>
  <c r="AA79" i="3"/>
  <c r="AA63" i="3"/>
  <c r="I62" i="5" s="1"/>
  <c r="AA47" i="3"/>
  <c r="AA31" i="3"/>
  <c r="AA15" i="3"/>
  <c r="AA270" i="3"/>
  <c r="I269" i="5" s="1"/>
  <c r="AA254" i="3"/>
  <c r="I253" i="5" s="1"/>
  <c r="AA238" i="3"/>
  <c r="AA222" i="3"/>
  <c r="AA206" i="3"/>
  <c r="I205" i="5" s="1"/>
  <c r="AA190" i="3"/>
  <c r="I189" i="5" s="1"/>
  <c r="AA174" i="3"/>
  <c r="AA158" i="3"/>
  <c r="AA142" i="3"/>
  <c r="I141" i="5" s="1"/>
  <c r="AA126" i="3"/>
  <c r="I125" i="5" s="1"/>
  <c r="AA94" i="3"/>
  <c r="AA62" i="3"/>
  <c r="AA30" i="3"/>
  <c r="I29" i="5" s="1"/>
  <c r="AA417" i="3"/>
  <c r="I416" i="5" s="1"/>
  <c r="AA385" i="3"/>
  <c r="AA353" i="3"/>
  <c r="W13" i="3"/>
  <c r="W29" i="3"/>
  <c r="W45" i="3"/>
  <c r="W61" i="3"/>
  <c r="W77" i="3"/>
  <c r="W93" i="3"/>
  <c r="W109" i="3"/>
  <c r="W125" i="3"/>
  <c r="E124" i="5" s="1"/>
  <c r="W141" i="3"/>
  <c r="E140" i="5" s="1"/>
  <c r="W157" i="3"/>
  <c r="E156" i="5" s="1"/>
  <c r="W173" i="3"/>
  <c r="W189" i="3"/>
  <c r="E188" i="5" s="1"/>
  <c r="W205" i="3"/>
  <c r="E204" i="5" s="1"/>
  <c r="W221" i="3"/>
  <c r="E220" i="5" s="1"/>
  <c r="W237" i="3"/>
  <c r="W253" i="3"/>
  <c r="W269" i="3"/>
  <c r="E268" i="5" s="1"/>
  <c r="W285" i="3"/>
  <c r="E284" i="5" s="1"/>
  <c r="W301" i="3"/>
  <c r="W317" i="3"/>
  <c r="W333" i="3"/>
  <c r="W349" i="3"/>
  <c r="W365" i="3"/>
  <c r="W381" i="3"/>
  <c r="W397" i="3"/>
  <c r="E396" i="5" s="1"/>
  <c r="W413" i="3"/>
  <c r="E412" i="5" s="1"/>
  <c r="W11" i="3"/>
  <c r="W27" i="3"/>
  <c r="W43" i="3"/>
  <c r="W59" i="3"/>
  <c r="W75" i="3"/>
  <c r="W91" i="3"/>
  <c r="W107" i="3"/>
  <c r="W123" i="3"/>
  <c r="E122" i="5" s="1"/>
  <c r="W139" i="3"/>
  <c r="W155" i="3"/>
  <c r="W171" i="3"/>
  <c r="E170" i="5" s="1"/>
  <c r="W187" i="3"/>
  <c r="E186" i="5" s="1"/>
  <c r="W18" i="3"/>
  <c r="W50" i="3"/>
  <c r="W82" i="3"/>
  <c r="E81" i="5" s="1"/>
  <c r="W114" i="3"/>
  <c r="W146" i="3"/>
  <c r="W178" i="3"/>
  <c r="W206" i="3"/>
  <c r="E205" i="5" s="1"/>
  <c r="W227" i="3"/>
  <c r="E226" i="5" s="1"/>
  <c r="W248" i="3"/>
  <c r="W270" i="3"/>
  <c r="W291" i="3"/>
  <c r="W312" i="3"/>
  <c r="W334" i="3"/>
  <c r="W355" i="3"/>
  <c r="W376" i="3"/>
  <c r="W398" i="3"/>
  <c r="E397" i="5" s="1"/>
  <c r="W419" i="3"/>
  <c r="E418" i="5" s="1"/>
  <c r="W20" i="3"/>
  <c r="W52" i="3"/>
  <c r="W84" i="3"/>
  <c r="W116" i="3"/>
  <c r="W148" i="3"/>
  <c r="W180" i="3"/>
  <c r="E179" i="5" s="1"/>
  <c r="W207" i="3"/>
  <c r="E206" i="5" s="1"/>
  <c r="W228" i="3"/>
  <c r="W250" i="3"/>
  <c r="E249" i="5" s="1"/>
  <c r="W271" i="3"/>
  <c r="E270" i="5" s="1"/>
  <c r="W292" i="3"/>
  <c r="W314" i="3"/>
  <c r="W335" i="3"/>
  <c r="W356" i="3"/>
  <c r="W378" i="3"/>
  <c r="W399" i="3"/>
  <c r="E398" i="5" s="1"/>
  <c r="W420" i="3"/>
  <c r="E419" i="5" s="1"/>
  <c r="W30" i="3"/>
  <c r="W62" i="3"/>
  <c r="W94" i="3"/>
  <c r="W126" i="3"/>
  <c r="W158" i="3"/>
  <c r="E157" i="5" s="1"/>
  <c r="W190" i="3"/>
  <c r="W214" i="3"/>
  <c r="W235" i="3"/>
  <c r="E234" i="5" s="1"/>
  <c r="W256" i="3"/>
  <c r="E255" i="5" s="1"/>
  <c r="W278" i="3"/>
  <c r="E277" i="5" s="1"/>
  <c r="W299" i="3"/>
  <c r="W320" i="3"/>
  <c r="W342" i="3"/>
  <c r="E294" i="5" s="1"/>
  <c r="W363" i="3"/>
  <c r="E362" i="5" s="1"/>
  <c r="W384" i="3"/>
  <c r="W406" i="3"/>
  <c r="E405" i="5" s="1"/>
  <c r="W8" i="3"/>
  <c r="W136" i="3"/>
  <c r="W242" i="3"/>
  <c r="W327" i="3"/>
  <c r="W412" i="3"/>
  <c r="W112" i="3"/>
  <c r="W226" i="3"/>
  <c r="W311" i="3"/>
  <c r="W396" i="3"/>
  <c r="W88" i="3"/>
  <c r="W210" i="3"/>
  <c r="W295" i="3"/>
  <c r="W380" i="3"/>
  <c r="E332" i="5" s="1"/>
  <c r="W236" i="3"/>
  <c r="E235" i="5" s="1"/>
  <c r="W160" i="3"/>
  <c r="W192" i="3"/>
  <c r="E191" i="5" s="1"/>
  <c r="W96" i="3"/>
  <c r="W17" i="3"/>
  <c r="W33" i="3"/>
  <c r="W49" i="3"/>
  <c r="W65" i="3"/>
  <c r="W81" i="3"/>
  <c r="W97" i="3"/>
  <c r="W113" i="3"/>
  <c r="W129" i="3"/>
  <c r="E128" i="5" s="1"/>
  <c r="W145" i="3"/>
  <c r="E144" i="5" s="1"/>
  <c r="W161" i="3"/>
  <c r="W177" i="3"/>
  <c r="E176" i="5" s="1"/>
  <c r="W193" i="3"/>
  <c r="E192" i="5" s="1"/>
  <c r="W209" i="3"/>
  <c r="E208" i="5" s="1"/>
  <c r="W225" i="3"/>
  <c r="W241" i="3"/>
  <c r="W257" i="3"/>
  <c r="E256" i="5" s="1"/>
  <c r="W273" i="3"/>
  <c r="E272" i="5" s="1"/>
  <c r="W289" i="3"/>
  <c r="W305" i="3"/>
  <c r="W321" i="3"/>
  <c r="W337" i="3"/>
  <c r="E336" i="5" s="1"/>
  <c r="W353" i="3"/>
  <c r="W369" i="3"/>
  <c r="W385" i="3"/>
  <c r="W401" i="3"/>
  <c r="E400" i="5" s="1"/>
  <c r="W417" i="3"/>
  <c r="E416" i="5" s="1"/>
  <c r="W15" i="3"/>
  <c r="W31" i="3"/>
  <c r="W47" i="3"/>
  <c r="W63" i="3"/>
  <c r="W79" i="3"/>
  <c r="W95" i="3"/>
  <c r="W111" i="3"/>
  <c r="W127" i="3"/>
  <c r="W143" i="3"/>
  <c r="W159" i="3"/>
  <c r="E158" i="5" s="1"/>
  <c r="W175" i="3"/>
  <c r="E174" i="5" s="1"/>
  <c r="W191" i="3"/>
  <c r="W26" i="3"/>
  <c r="W58" i="3"/>
  <c r="W90" i="3"/>
  <c r="W122" i="3"/>
  <c r="W154" i="3"/>
  <c r="E153" i="5" s="1"/>
  <c r="W186" i="3"/>
  <c r="E185" i="5" s="1"/>
  <c r="W211" i="3"/>
  <c r="E210" i="5" s="1"/>
  <c r="W232" i="3"/>
  <c r="W254" i="3"/>
  <c r="W275" i="3"/>
  <c r="E274" i="5" s="1"/>
  <c r="W296" i="3"/>
  <c r="E295" i="5" s="1"/>
  <c r="W318" i="3"/>
  <c r="W339" i="3"/>
  <c r="W360" i="3"/>
  <c r="W382" i="3"/>
  <c r="W403" i="3"/>
  <c r="E402" i="5" s="1"/>
  <c r="W424" i="3"/>
  <c r="E423" i="5" s="1"/>
  <c r="W28" i="3"/>
  <c r="W60" i="3"/>
  <c r="W92" i="3"/>
  <c r="W124" i="3"/>
  <c r="W156" i="3"/>
  <c r="E155" i="5" s="1"/>
  <c r="W188" i="3"/>
  <c r="E187" i="5" s="1"/>
  <c r="W212" i="3"/>
  <c r="W234" i="3"/>
  <c r="W255" i="3"/>
  <c r="E254" i="5" s="1"/>
  <c r="W276" i="3"/>
  <c r="E275" i="5" s="1"/>
  <c r="W298" i="3"/>
  <c r="W319" i="3"/>
  <c r="W340" i="3"/>
  <c r="W362" i="3"/>
  <c r="W383" i="3"/>
  <c r="W404" i="3"/>
  <c r="E403" i="5" s="1"/>
  <c r="W6" i="3"/>
  <c r="W38" i="3"/>
  <c r="W70" i="3"/>
  <c r="W102" i="3"/>
  <c r="W134" i="3"/>
  <c r="E133" i="5" s="1"/>
  <c r="W166" i="3"/>
  <c r="W198" i="3"/>
  <c r="W219" i="3"/>
  <c r="W240" i="3"/>
  <c r="E239" i="5" s="1"/>
  <c r="W262" i="3"/>
  <c r="E261" i="5" s="1"/>
  <c r="W283" i="3"/>
  <c r="W304" i="3"/>
  <c r="W326" i="3"/>
  <c r="W347" i="3"/>
  <c r="E346" i="5" s="1"/>
  <c r="W368" i="3"/>
  <c r="W390" i="3"/>
  <c r="W411" i="3"/>
  <c r="E410" i="5" s="1"/>
  <c r="W40" i="3"/>
  <c r="W168" i="3"/>
  <c r="W263" i="3"/>
  <c r="W348" i="3"/>
  <c r="E300" i="5" s="1"/>
  <c r="W16" i="3"/>
  <c r="W144" i="3"/>
  <c r="W247" i="3"/>
  <c r="E246" i="5" s="1"/>
  <c r="W332" i="3"/>
  <c r="W418" i="3"/>
  <c r="E417" i="5" s="1"/>
  <c r="W120" i="3"/>
  <c r="W231" i="3"/>
  <c r="E230" i="5" s="1"/>
  <c r="W316" i="3"/>
  <c r="W402" i="3"/>
  <c r="E401" i="5" s="1"/>
  <c r="W322" i="3"/>
  <c r="W258" i="3"/>
  <c r="W279" i="3"/>
  <c r="E278" i="5" s="1"/>
  <c r="W215" i="3"/>
  <c r="E214" i="5" s="1"/>
  <c r="W5" i="3"/>
  <c r="W21" i="3"/>
  <c r="W37" i="3"/>
  <c r="W53" i="3"/>
  <c r="W69" i="3"/>
  <c r="W85" i="3"/>
  <c r="W101" i="3"/>
  <c r="W117" i="3"/>
  <c r="E116" i="5" s="1"/>
  <c r="W133" i="3"/>
  <c r="W149" i="3"/>
  <c r="E148" i="5" s="1"/>
  <c r="W165" i="3"/>
  <c r="E164" i="5" s="1"/>
  <c r="W181" i="3"/>
  <c r="E180" i="5" s="1"/>
  <c r="W197" i="3"/>
  <c r="W213" i="3"/>
  <c r="E212" i="5" s="1"/>
  <c r="W229" i="3"/>
  <c r="E228" i="5" s="1"/>
  <c r="W245" i="3"/>
  <c r="E244" i="5" s="1"/>
  <c r="W261" i="3"/>
  <c r="W277" i="3"/>
  <c r="E276" i="5" s="1"/>
  <c r="W293" i="3"/>
  <c r="E379" i="5" s="1"/>
  <c r="W309" i="3"/>
  <c r="W325" i="3"/>
  <c r="W341" i="3"/>
  <c r="W357" i="3"/>
  <c r="W373" i="3"/>
  <c r="W389" i="3"/>
  <c r="W405" i="3"/>
  <c r="E404" i="5" s="1"/>
  <c r="W421" i="3"/>
  <c r="E420" i="5" s="1"/>
  <c r="W19" i="3"/>
  <c r="W35" i="3"/>
  <c r="W51" i="3"/>
  <c r="W67" i="3"/>
  <c r="W83" i="3"/>
  <c r="W99" i="3"/>
  <c r="W115" i="3"/>
  <c r="W131" i="3"/>
  <c r="E130" i="5" s="1"/>
  <c r="W147" i="3"/>
  <c r="E146" i="5" s="1"/>
  <c r="W163" i="3"/>
  <c r="W179" i="3"/>
  <c r="E178" i="5" s="1"/>
  <c r="W195" i="3"/>
  <c r="E194" i="5" s="1"/>
  <c r="W34" i="3"/>
  <c r="W66" i="3"/>
  <c r="W98" i="3"/>
  <c r="W130" i="3"/>
  <c r="E129" i="5" s="1"/>
  <c r="W162" i="3"/>
  <c r="E161" i="5" s="1"/>
  <c r="W194" i="3"/>
  <c r="W216" i="3"/>
  <c r="W238" i="3"/>
  <c r="E237" i="5" s="1"/>
  <c r="W259" i="3"/>
  <c r="E258" i="5" s="1"/>
  <c r="W280" i="3"/>
  <c r="W302" i="3"/>
  <c r="W323" i="3"/>
  <c r="W344" i="3"/>
  <c r="W366" i="3"/>
  <c r="W387" i="3"/>
  <c r="W408" i="3"/>
  <c r="E407" i="5" s="1"/>
  <c r="W4" i="3"/>
  <c r="W36" i="3"/>
  <c r="W68" i="3"/>
  <c r="W100" i="3"/>
  <c r="W132" i="3"/>
  <c r="W164" i="3"/>
  <c r="W196" i="3"/>
  <c r="W218" i="3"/>
  <c r="E217" i="5" s="1"/>
  <c r="W239" i="3"/>
  <c r="E238" i="5" s="1"/>
  <c r="W260" i="3"/>
  <c r="W282" i="3"/>
  <c r="E281" i="5" s="1"/>
  <c r="W303" i="3"/>
  <c r="W324" i="3"/>
  <c r="W346" i="3"/>
  <c r="W367" i="3"/>
  <c r="W388" i="3"/>
  <c r="E340" i="5" s="1"/>
  <c r="W410" i="3"/>
  <c r="E409" i="5" s="1"/>
  <c r="W14" i="3"/>
  <c r="W46" i="3"/>
  <c r="W78" i="3"/>
  <c r="W110" i="3"/>
  <c r="W142" i="3"/>
  <c r="W174" i="3"/>
  <c r="E173" i="5" s="1"/>
  <c r="W203" i="3"/>
  <c r="E202" i="5" s="1"/>
  <c r="W224" i="3"/>
  <c r="E223" i="5" s="1"/>
  <c r="W246" i="3"/>
  <c r="W267" i="3"/>
  <c r="W288" i="3"/>
  <c r="E287" i="5" s="1"/>
  <c r="W310" i="3"/>
  <c r="W331" i="3"/>
  <c r="W352" i="3"/>
  <c r="E304" i="5" s="1"/>
  <c r="W374" i="3"/>
  <c r="E326" i="5" s="1"/>
  <c r="W395" i="3"/>
  <c r="E394" i="5" s="1"/>
  <c r="W416" i="3"/>
  <c r="E415" i="5" s="1"/>
  <c r="W72" i="3"/>
  <c r="W199" i="3"/>
  <c r="E198" i="5" s="1"/>
  <c r="W284" i="3"/>
  <c r="W370" i="3"/>
  <c r="W48" i="3"/>
  <c r="W176" i="3"/>
  <c r="E175" i="5" s="1"/>
  <c r="W268" i="3"/>
  <c r="E267" i="5" s="1"/>
  <c r="W354" i="3"/>
  <c r="W24" i="3"/>
  <c r="W152" i="3"/>
  <c r="E151" i="5" s="1"/>
  <c r="W252" i="3"/>
  <c r="E251" i="5" s="1"/>
  <c r="W338" i="3"/>
  <c r="W423" i="3"/>
  <c r="W407" i="3"/>
  <c r="W343" i="3"/>
  <c r="W364" i="3"/>
  <c r="W300" i="3"/>
  <c r="E386" i="5" s="1"/>
  <c r="W9" i="3"/>
  <c r="W25" i="3"/>
  <c r="W41" i="3"/>
  <c r="W57" i="3"/>
  <c r="W73" i="3"/>
  <c r="W89" i="3"/>
  <c r="W105" i="3"/>
  <c r="W121" i="3"/>
  <c r="E120" i="5" s="1"/>
  <c r="W137" i="3"/>
  <c r="E136" i="5" s="1"/>
  <c r="W153" i="3"/>
  <c r="E152" i="5" s="1"/>
  <c r="W169" i="3"/>
  <c r="W185" i="3"/>
  <c r="E184" i="5" s="1"/>
  <c r="W201" i="3"/>
  <c r="E200" i="5" s="1"/>
  <c r="W217" i="3"/>
  <c r="E216" i="5" s="1"/>
  <c r="W233" i="3"/>
  <c r="W249" i="3"/>
  <c r="W265" i="3"/>
  <c r="W281" i="3"/>
  <c r="E280" i="5" s="1"/>
  <c r="W297" i="3"/>
  <c r="W313" i="3"/>
  <c r="W329" i="3"/>
  <c r="W345" i="3"/>
  <c r="E344" i="5" s="1"/>
  <c r="W361" i="3"/>
  <c r="W377" i="3"/>
  <c r="W393" i="3"/>
  <c r="W409" i="3"/>
  <c r="E408" i="5" s="1"/>
  <c r="W7" i="3"/>
  <c r="W23" i="3"/>
  <c r="W39" i="3"/>
  <c r="W55" i="3"/>
  <c r="W71" i="3"/>
  <c r="W87" i="3"/>
  <c r="W103" i="3"/>
  <c r="W119" i="3"/>
  <c r="E118" i="5" s="1"/>
  <c r="W135" i="3"/>
  <c r="W151" i="3"/>
  <c r="E150" i="5" s="1"/>
  <c r="W167" i="3"/>
  <c r="W183" i="3"/>
  <c r="E182" i="5" s="1"/>
  <c r="W10" i="3"/>
  <c r="W42" i="3"/>
  <c r="W74" i="3"/>
  <c r="E73" i="5" s="1"/>
  <c r="W106" i="3"/>
  <c r="W138" i="3"/>
  <c r="W170" i="3"/>
  <c r="W200" i="3"/>
  <c r="E199" i="5" s="1"/>
  <c r="W222" i="3"/>
  <c r="E221" i="5" s="1"/>
  <c r="W243" i="3"/>
  <c r="W264" i="3"/>
  <c r="E263" i="5" s="1"/>
  <c r="W286" i="3"/>
  <c r="E285" i="5" s="1"/>
  <c r="W307" i="3"/>
  <c r="E306" i="5" s="1"/>
  <c r="W328" i="3"/>
  <c r="W350" i="3"/>
  <c r="W371" i="3"/>
  <c r="W392" i="3"/>
  <c r="W414" i="3"/>
  <c r="E413" i="5" s="1"/>
  <c r="W12" i="3"/>
  <c r="W44" i="3"/>
  <c r="W76" i="3"/>
  <c r="W108" i="3"/>
  <c r="W140" i="3"/>
  <c r="E139" i="5" s="1"/>
  <c r="W172" i="3"/>
  <c r="E171" i="5" s="1"/>
  <c r="W202" i="3"/>
  <c r="E201" i="5" s="1"/>
  <c r="W223" i="3"/>
  <c r="W244" i="3"/>
  <c r="W266" i="3"/>
  <c r="E265" i="5" s="1"/>
  <c r="W287" i="3"/>
  <c r="E286" i="5" s="1"/>
  <c r="W308" i="3"/>
  <c r="W330" i="3"/>
  <c r="W351" i="3"/>
  <c r="E303" i="5" s="1"/>
  <c r="W372" i="3"/>
  <c r="E371" i="5" s="1"/>
  <c r="W394" i="3"/>
  <c r="E393" i="5" s="1"/>
  <c r="W415" i="3"/>
  <c r="E414" i="5" s="1"/>
  <c r="W22" i="3"/>
  <c r="W54" i="3"/>
  <c r="W86" i="3"/>
  <c r="W118" i="3"/>
  <c r="E117" i="5" s="1"/>
  <c r="W150" i="3"/>
  <c r="E149" i="5" s="1"/>
  <c r="W182" i="3"/>
  <c r="E181" i="5" s="1"/>
  <c r="W208" i="3"/>
  <c r="W230" i="3"/>
  <c r="E229" i="5" s="1"/>
  <c r="W251" i="3"/>
  <c r="E250" i="5" s="1"/>
  <c r="W272" i="3"/>
  <c r="E271" i="5" s="1"/>
  <c r="W294" i="3"/>
  <c r="W315" i="3"/>
  <c r="W336" i="3"/>
  <c r="W358" i="3"/>
  <c r="W379" i="3"/>
  <c r="W400" i="3"/>
  <c r="E399" i="5" s="1"/>
  <c r="W422" i="3"/>
  <c r="E421" i="5" s="1"/>
  <c r="W104" i="3"/>
  <c r="W220" i="3"/>
  <c r="W306" i="3"/>
  <c r="W391" i="3"/>
  <c r="W80" i="3"/>
  <c r="W204" i="3"/>
  <c r="W290" i="3"/>
  <c r="W375" i="3"/>
  <c r="E327" i="5" s="1"/>
  <c r="W56" i="3"/>
  <c r="W184" i="3"/>
  <c r="W274" i="3"/>
  <c r="W359" i="3"/>
  <c r="W128" i="3"/>
  <c r="E127" i="5" s="1"/>
  <c r="W32" i="3"/>
  <c r="W64" i="3"/>
  <c r="W386" i="3"/>
  <c r="E338" i="5" s="1"/>
  <c r="AB3" i="3"/>
  <c r="J2" i="5" s="1"/>
  <c r="AB5" i="3"/>
  <c r="AB21" i="3"/>
  <c r="AB37" i="3"/>
  <c r="J36" i="5" s="1"/>
  <c r="AB53" i="3"/>
  <c r="J52" i="5" s="1"/>
  <c r="AB69" i="3"/>
  <c r="AB85" i="3"/>
  <c r="AB101" i="3"/>
  <c r="J100" i="5" s="1"/>
  <c r="AB117" i="3"/>
  <c r="J116" i="5" s="1"/>
  <c r="AB133" i="3"/>
  <c r="AB149" i="3"/>
  <c r="AB165" i="3"/>
  <c r="J164" i="5" s="1"/>
  <c r="AB181" i="3"/>
  <c r="J180" i="5" s="1"/>
  <c r="AB197" i="3"/>
  <c r="AB213" i="3"/>
  <c r="AB229" i="3"/>
  <c r="J228" i="5" s="1"/>
  <c r="AB245" i="3"/>
  <c r="J244" i="5" s="1"/>
  <c r="AB261" i="3"/>
  <c r="AB277" i="3"/>
  <c r="AB293" i="3"/>
  <c r="AB309" i="3"/>
  <c r="AB325" i="3"/>
  <c r="AB10" i="3"/>
  <c r="AB26" i="3"/>
  <c r="J25" i="5" s="1"/>
  <c r="AB42" i="3"/>
  <c r="J41" i="5" s="1"/>
  <c r="AB58" i="3"/>
  <c r="AB74" i="3"/>
  <c r="AB90" i="3"/>
  <c r="J89" i="5" s="1"/>
  <c r="AB106" i="3"/>
  <c r="J105" i="5" s="1"/>
  <c r="AB122" i="3"/>
  <c r="AB138" i="3"/>
  <c r="AB154" i="3"/>
  <c r="J153" i="5" s="1"/>
  <c r="AB31" i="3"/>
  <c r="J30" i="5" s="1"/>
  <c r="AB63" i="3"/>
  <c r="AB95" i="3"/>
  <c r="AB127" i="3"/>
  <c r="J126" i="5" s="1"/>
  <c r="AB158" i="3"/>
  <c r="J157" i="5" s="1"/>
  <c r="AB179" i="3"/>
  <c r="AB200" i="3"/>
  <c r="AB222" i="3"/>
  <c r="J221" i="5" s="1"/>
  <c r="AB243" i="3"/>
  <c r="J242" i="5" s="1"/>
  <c r="AB264" i="3"/>
  <c r="AB286" i="3"/>
  <c r="AB307" i="3"/>
  <c r="AB328" i="3"/>
  <c r="AB346" i="3"/>
  <c r="AB362" i="3"/>
  <c r="AB378" i="3"/>
  <c r="AB394" i="3"/>
  <c r="J393" i="5" s="1"/>
  <c r="AB410" i="3"/>
  <c r="J409" i="5" s="1"/>
  <c r="AB8" i="3"/>
  <c r="AB40" i="3"/>
  <c r="J39" i="5" s="1"/>
  <c r="AB72" i="3"/>
  <c r="J71" i="5" s="1"/>
  <c r="AB104" i="3"/>
  <c r="AB136" i="3"/>
  <c r="AB164" i="3"/>
  <c r="J163" i="5" s="1"/>
  <c r="AB186" i="3"/>
  <c r="J185" i="5" s="1"/>
  <c r="AB207" i="3"/>
  <c r="AB228" i="3"/>
  <c r="AB250" i="3"/>
  <c r="J249" i="5" s="1"/>
  <c r="AB271" i="3"/>
  <c r="J270" i="5" s="1"/>
  <c r="AB292" i="3"/>
  <c r="AB314" i="3"/>
  <c r="AB335" i="3"/>
  <c r="AB351" i="3"/>
  <c r="AB367" i="3"/>
  <c r="AB383" i="3"/>
  <c r="AB399" i="3"/>
  <c r="J398" i="5" s="1"/>
  <c r="AB415" i="3"/>
  <c r="J414" i="5" s="1"/>
  <c r="AB19" i="3"/>
  <c r="AB51" i="3"/>
  <c r="AB83" i="3"/>
  <c r="J82" i="5" s="1"/>
  <c r="AB115" i="3"/>
  <c r="J114" i="5" s="1"/>
  <c r="AB147" i="3"/>
  <c r="AB171" i="3"/>
  <c r="AB192" i="3"/>
  <c r="J191" i="5" s="1"/>
  <c r="AB214" i="3"/>
  <c r="J213" i="5" s="1"/>
  <c r="AB235" i="3"/>
  <c r="AB256" i="3"/>
  <c r="AB278" i="3"/>
  <c r="J277" i="5" s="1"/>
  <c r="AB299" i="3"/>
  <c r="J298" i="5" s="1"/>
  <c r="AB320" i="3"/>
  <c r="AB340" i="3"/>
  <c r="AB356" i="3"/>
  <c r="AB372" i="3"/>
  <c r="AB388" i="3"/>
  <c r="AB404" i="3"/>
  <c r="J403" i="5" s="1"/>
  <c r="AB420" i="3"/>
  <c r="AB76" i="3"/>
  <c r="J75" i="5" s="1"/>
  <c r="AB188" i="3"/>
  <c r="AB274" i="3"/>
  <c r="AB353" i="3"/>
  <c r="AB417" i="3"/>
  <c r="J416" i="5" s="1"/>
  <c r="AB116" i="3"/>
  <c r="AB215" i="3"/>
  <c r="AB300" i="3"/>
  <c r="AB373" i="3"/>
  <c r="AB28" i="3"/>
  <c r="AB156" i="3"/>
  <c r="AB242" i="3"/>
  <c r="J241" i="5" s="1"/>
  <c r="AB327" i="3"/>
  <c r="AB393" i="3"/>
  <c r="J392" i="5" s="1"/>
  <c r="AB247" i="3"/>
  <c r="AB183" i="3"/>
  <c r="J182" i="5" s="1"/>
  <c r="AB100" i="3"/>
  <c r="J99" i="5" s="1"/>
  <c r="AB226" i="3"/>
  <c r="AB132" i="3"/>
  <c r="AB9" i="3"/>
  <c r="J8" i="5" s="1"/>
  <c r="AB25" i="3"/>
  <c r="J24" i="5" s="1"/>
  <c r="AB41" i="3"/>
  <c r="AB57" i="3"/>
  <c r="AB73" i="3"/>
  <c r="J72" i="5" s="1"/>
  <c r="AB89" i="3"/>
  <c r="J88" i="5" s="1"/>
  <c r="AB105" i="3"/>
  <c r="AB121" i="3"/>
  <c r="AB137" i="3"/>
  <c r="J136" i="5" s="1"/>
  <c r="AB153" i="3"/>
  <c r="J152" i="5" s="1"/>
  <c r="AB169" i="3"/>
  <c r="AB185" i="3"/>
  <c r="AB201" i="3"/>
  <c r="J200" i="5" s="1"/>
  <c r="AB217" i="3"/>
  <c r="J216" i="5" s="1"/>
  <c r="AB233" i="3"/>
  <c r="AB249" i="3"/>
  <c r="AB265" i="3"/>
  <c r="J264" i="5" s="1"/>
  <c r="AB281" i="3"/>
  <c r="AB297" i="3"/>
  <c r="AB313" i="3"/>
  <c r="AB329" i="3"/>
  <c r="AB14" i="3"/>
  <c r="J13" i="5" s="1"/>
  <c r="AB30" i="3"/>
  <c r="AB46" i="3"/>
  <c r="AB62" i="3"/>
  <c r="J61" i="5" s="1"/>
  <c r="AB78" i="3"/>
  <c r="J77" i="5" s="1"/>
  <c r="AB94" i="3"/>
  <c r="AB110" i="3"/>
  <c r="AB126" i="3"/>
  <c r="J125" i="5" s="1"/>
  <c r="AB142" i="3"/>
  <c r="J141" i="5" s="1"/>
  <c r="AB7" i="3"/>
  <c r="AB39" i="3"/>
  <c r="AB71" i="3"/>
  <c r="J70" i="5" s="1"/>
  <c r="AB103" i="3"/>
  <c r="J102" i="5" s="1"/>
  <c r="AB135" i="3"/>
  <c r="AB163" i="3"/>
  <c r="AB184" i="3"/>
  <c r="J183" i="5" s="1"/>
  <c r="AB206" i="3"/>
  <c r="J205" i="5" s="1"/>
  <c r="AB227" i="3"/>
  <c r="AB248" i="3"/>
  <c r="AB270" i="3"/>
  <c r="J269" i="5" s="1"/>
  <c r="AB291" i="3"/>
  <c r="AB312" i="3"/>
  <c r="AB334" i="3"/>
  <c r="AB350" i="3"/>
  <c r="AB366" i="3"/>
  <c r="AB382" i="3"/>
  <c r="AB398" i="3"/>
  <c r="J397" i="5" s="1"/>
  <c r="AB414" i="3"/>
  <c r="AB16" i="3"/>
  <c r="J15" i="5" s="1"/>
  <c r="AB48" i="3"/>
  <c r="AB80" i="3"/>
  <c r="AB112" i="3"/>
  <c r="J111" i="5" s="1"/>
  <c r="AB144" i="3"/>
  <c r="J143" i="5" s="1"/>
  <c r="AB170" i="3"/>
  <c r="AB191" i="3"/>
  <c r="AB212" i="3"/>
  <c r="J211" i="5" s="1"/>
  <c r="AB234" i="3"/>
  <c r="J233" i="5" s="1"/>
  <c r="AB255" i="3"/>
  <c r="AB276" i="3"/>
  <c r="AB298" i="3"/>
  <c r="AB319" i="3"/>
  <c r="J318" i="5" s="1"/>
  <c r="AB339" i="3"/>
  <c r="AB355" i="3"/>
  <c r="AB371" i="3"/>
  <c r="J323" i="5" s="1"/>
  <c r="AB387" i="3"/>
  <c r="AB403" i="3"/>
  <c r="J402" i="5" s="1"/>
  <c r="AB419" i="3"/>
  <c r="J418" i="5" s="1"/>
  <c r="AB27" i="3"/>
  <c r="J26" i="5" s="1"/>
  <c r="AB59" i="3"/>
  <c r="J58" i="5" s="1"/>
  <c r="AB91" i="3"/>
  <c r="AB123" i="3"/>
  <c r="AB155" i="3"/>
  <c r="J154" i="5" s="1"/>
  <c r="AB176" i="3"/>
  <c r="AB198" i="3"/>
  <c r="AB219" i="3"/>
  <c r="AB240" i="3"/>
  <c r="J239" i="5" s="1"/>
  <c r="AB262" i="3"/>
  <c r="J261" i="5" s="1"/>
  <c r="AB283" i="3"/>
  <c r="AB304" i="3"/>
  <c r="AB326" i="3"/>
  <c r="AB344" i="3"/>
  <c r="J343" i="5" s="1"/>
  <c r="AB360" i="3"/>
  <c r="AB376" i="3"/>
  <c r="AB392" i="3"/>
  <c r="J344" i="5" s="1"/>
  <c r="AB408" i="3"/>
  <c r="J407" i="5" s="1"/>
  <c r="AB424" i="3"/>
  <c r="J423" i="5" s="1"/>
  <c r="AB108" i="3"/>
  <c r="AB210" i="3"/>
  <c r="J209" i="5" s="1"/>
  <c r="AB295" i="3"/>
  <c r="AB369" i="3"/>
  <c r="AB20" i="3"/>
  <c r="AB148" i="3"/>
  <c r="J147" i="5" s="1"/>
  <c r="AB236" i="3"/>
  <c r="J235" i="5" s="1"/>
  <c r="AB322" i="3"/>
  <c r="AB389" i="3"/>
  <c r="AB60" i="3"/>
  <c r="J59" i="5" s="1"/>
  <c r="AB178" i="3"/>
  <c r="J177" i="5" s="1"/>
  <c r="AB263" i="3"/>
  <c r="AB345" i="3"/>
  <c r="AB409" i="3"/>
  <c r="AB332" i="3"/>
  <c r="J331" i="5" s="1"/>
  <c r="AB268" i="3"/>
  <c r="AB204" i="3"/>
  <c r="AB311" i="3"/>
  <c r="AB13" i="3"/>
  <c r="J12" i="5" s="1"/>
  <c r="AB29" i="3"/>
  <c r="AB45" i="3"/>
  <c r="AB61" i="3"/>
  <c r="J60" i="5" s="1"/>
  <c r="AB77" i="3"/>
  <c r="J76" i="5" s="1"/>
  <c r="AB93" i="3"/>
  <c r="AB109" i="3"/>
  <c r="AB125" i="3"/>
  <c r="J124" i="5" s="1"/>
  <c r="AB141" i="3"/>
  <c r="J140" i="5" s="1"/>
  <c r="AB157" i="3"/>
  <c r="AB173" i="3"/>
  <c r="AB189" i="3"/>
  <c r="J188" i="5" s="1"/>
  <c r="AB205" i="3"/>
  <c r="J204" i="5" s="1"/>
  <c r="AB221" i="3"/>
  <c r="AB237" i="3"/>
  <c r="AB253" i="3"/>
  <c r="J252" i="5" s="1"/>
  <c r="AB269" i="3"/>
  <c r="J268" i="5" s="1"/>
  <c r="AB285" i="3"/>
  <c r="AB301" i="3"/>
  <c r="AB317" i="3"/>
  <c r="AB333" i="3"/>
  <c r="AB18" i="3"/>
  <c r="AB34" i="3"/>
  <c r="AB50" i="3"/>
  <c r="J49" i="5" s="1"/>
  <c r="AB66" i="3"/>
  <c r="J65" i="5" s="1"/>
  <c r="AB82" i="3"/>
  <c r="AB98" i="3"/>
  <c r="AB114" i="3"/>
  <c r="J113" i="5" s="1"/>
  <c r="AB130" i="3"/>
  <c r="J129" i="5" s="1"/>
  <c r="AB146" i="3"/>
  <c r="AB15" i="3"/>
  <c r="AB47" i="3"/>
  <c r="J46" i="5" s="1"/>
  <c r="AB79" i="3"/>
  <c r="J78" i="5" s="1"/>
  <c r="AB111" i="3"/>
  <c r="AB143" i="3"/>
  <c r="AB168" i="3"/>
  <c r="J167" i="5" s="1"/>
  <c r="AB190" i="3"/>
  <c r="J189" i="5" s="1"/>
  <c r="AB211" i="3"/>
  <c r="AB232" i="3"/>
  <c r="AB254" i="3"/>
  <c r="J253" i="5" s="1"/>
  <c r="AB275" i="3"/>
  <c r="J274" i="5" s="1"/>
  <c r="AB296" i="3"/>
  <c r="AB318" i="3"/>
  <c r="AB338" i="3"/>
  <c r="AB354" i="3"/>
  <c r="AB370" i="3"/>
  <c r="AB386" i="3"/>
  <c r="AB402" i="3"/>
  <c r="AB418" i="3"/>
  <c r="J417" i="5" s="1"/>
  <c r="AB24" i="3"/>
  <c r="AB56" i="3"/>
  <c r="AB88" i="3"/>
  <c r="J87" i="5" s="1"/>
  <c r="AB120" i="3"/>
  <c r="J119" i="5" s="1"/>
  <c r="AB152" i="3"/>
  <c r="AB175" i="3"/>
  <c r="AB196" i="3"/>
  <c r="J195" i="5" s="1"/>
  <c r="AB218" i="3"/>
  <c r="J217" i="5" s="1"/>
  <c r="AB239" i="3"/>
  <c r="AB260" i="3"/>
  <c r="AB282" i="3"/>
  <c r="J281" i="5" s="1"/>
  <c r="AB303" i="3"/>
  <c r="AB324" i="3"/>
  <c r="AB343" i="3"/>
  <c r="AB359" i="3"/>
  <c r="J311" i="5" s="1"/>
  <c r="AB375" i="3"/>
  <c r="J374" i="5" s="1"/>
  <c r="AB391" i="3"/>
  <c r="AB407" i="3"/>
  <c r="J406" i="5" s="1"/>
  <c r="AB423" i="3"/>
  <c r="AB35" i="3"/>
  <c r="J34" i="5" s="1"/>
  <c r="AB67" i="3"/>
  <c r="AB99" i="3"/>
  <c r="AB131" i="3"/>
  <c r="J130" i="5" s="1"/>
  <c r="AB160" i="3"/>
  <c r="J159" i="5" s="1"/>
  <c r="AB182" i="3"/>
  <c r="AB203" i="3"/>
  <c r="AB224" i="3"/>
  <c r="J223" i="5" s="1"/>
  <c r="AB246" i="3"/>
  <c r="AB267" i="3"/>
  <c r="AB288" i="3"/>
  <c r="AB310" i="3"/>
  <c r="AB331" i="3"/>
  <c r="AB348" i="3"/>
  <c r="AB364" i="3"/>
  <c r="AB380" i="3"/>
  <c r="AB396" i="3"/>
  <c r="J395" i="5" s="1"/>
  <c r="AB412" i="3"/>
  <c r="J411" i="5" s="1"/>
  <c r="AB12" i="3"/>
  <c r="AB140" i="3"/>
  <c r="J139" i="5" s="1"/>
  <c r="AB231" i="3"/>
  <c r="J230" i="5" s="1"/>
  <c r="AB316" i="3"/>
  <c r="AB385" i="3"/>
  <c r="AB52" i="3"/>
  <c r="J51" i="5" s="1"/>
  <c r="AB172" i="3"/>
  <c r="J171" i="5" s="1"/>
  <c r="AB258" i="3"/>
  <c r="AB341" i="3"/>
  <c r="AB405" i="3"/>
  <c r="AB92" i="3"/>
  <c r="J91" i="5" s="1"/>
  <c r="AB199" i="3"/>
  <c r="AB284" i="3"/>
  <c r="AB361" i="3"/>
  <c r="J360" i="5" s="1"/>
  <c r="AB36" i="3"/>
  <c r="J35" i="5" s="1"/>
  <c r="AB397" i="3"/>
  <c r="J396" i="5" s="1"/>
  <c r="AB349" i="3"/>
  <c r="AB290" i="3"/>
  <c r="J289" i="5" s="1"/>
  <c r="AB4" i="3"/>
  <c r="J3" i="5" s="1"/>
  <c r="AB17" i="3"/>
  <c r="AB33" i="3"/>
  <c r="AB49" i="3"/>
  <c r="J48" i="5" s="1"/>
  <c r="AB65" i="3"/>
  <c r="J64" i="5" s="1"/>
  <c r="AB81" i="3"/>
  <c r="AB97" i="3"/>
  <c r="AB113" i="3"/>
  <c r="J112" i="5" s="1"/>
  <c r="AB129" i="3"/>
  <c r="J128" i="5" s="1"/>
  <c r="AB145" i="3"/>
  <c r="AB161" i="3"/>
  <c r="AB177" i="3"/>
  <c r="J176" i="5" s="1"/>
  <c r="AB193" i="3"/>
  <c r="J192" i="5" s="1"/>
  <c r="AB209" i="3"/>
  <c r="AB225" i="3"/>
  <c r="AB241" i="3"/>
  <c r="J240" i="5" s="1"/>
  <c r="AB257" i="3"/>
  <c r="J256" i="5" s="1"/>
  <c r="AB273" i="3"/>
  <c r="AB289" i="3"/>
  <c r="AB305" i="3"/>
  <c r="J391" i="5" s="1"/>
  <c r="AB321" i="3"/>
  <c r="AB6" i="3"/>
  <c r="AB22" i="3"/>
  <c r="AB38" i="3"/>
  <c r="J37" i="5" s="1"/>
  <c r="AB54" i="3"/>
  <c r="J53" i="5" s="1"/>
  <c r="AB70" i="3"/>
  <c r="AB86" i="3"/>
  <c r="AB102" i="3"/>
  <c r="J101" i="5" s="1"/>
  <c r="AB118" i="3"/>
  <c r="J117" i="5" s="1"/>
  <c r="AB134" i="3"/>
  <c r="AB150" i="3"/>
  <c r="AB23" i="3"/>
  <c r="J22" i="5" s="1"/>
  <c r="AB55" i="3"/>
  <c r="J54" i="5" s="1"/>
  <c r="AB87" i="3"/>
  <c r="AB119" i="3"/>
  <c r="AB151" i="3"/>
  <c r="J150" i="5" s="1"/>
  <c r="AB174" i="3"/>
  <c r="J173" i="5" s="1"/>
  <c r="AB195" i="3"/>
  <c r="AB216" i="3"/>
  <c r="AB238" i="3"/>
  <c r="J237" i="5" s="1"/>
  <c r="AB259" i="3"/>
  <c r="AB280" i="3"/>
  <c r="AB302" i="3"/>
  <c r="AB323" i="3"/>
  <c r="J322" i="5" s="1"/>
  <c r="AB342" i="3"/>
  <c r="AB358" i="3"/>
  <c r="AB374" i="3"/>
  <c r="AB390" i="3"/>
  <c r="J342" i="5" s="1"/>
  <c r="AB406" i="3"/>
  <c r="J405" i="5" s="1"/>
  <c r="AB422" i="3"/>
  <c r="J421" i="5" s="1"/>
  <c r="AB32" i="3"/>
  <c r="AB64" i="3"/>
  <c r="J63" i="5" s="1"/>
  <c r="AB96" i="3"/>
  <c r="J95" i="5" s="1"/>
  <c r="AB128" i="3"/>
  <c r="AB159" i="3"/>
  <c r="AB180" i="3"/>
  <c r="J179" i="5" s="1"/>
  <c r="AB202" i="3"/>
  <c r="J201" i="5" s="1"/>
  <c r="AB223" i="3"/>
  <c r="AB244" i="3"/>
  <c r="AB266" i="3"/>
  <c r="J265" i="5" s="1"/>
  <c r="AB287" i="3"/>
  <c r="J286" i="5" s="1"/>
  <c r="AB308" i="3"/>
  <c r="AB330" i="3"/>
  <c r="AB347" i="3"/>
  <c r="J299" i="5" s="1"/>
  <c r="AB363" i="3"/>
  <c r="J362" i="5" s="1"/>
  <c r="AB379" i="3"/>
  <c r="AB395" i="3"/>
  <c r="J394" i="5" s="1"/>
  <c r="AB411" i="3"/>
  <c r="AB11" i="3"/>
  <c r="J10" i="5" s="1"/>
  <c r="AB43" i="3"/>
  <c r="AB75" i="3"/>
  <c r="AB107" i="3"/>
  <c r="J106" i="5" s="1"/>
  <c r="AB139" i="3"/>
  <c r="J138" i="5" s="1"/>
  <c r="AB166" i="3"/>
  <c r="AB187" i="3"/>
  <c r="AB208" i="3"/>
  <c r="J207" i="5" s="1"/>
  <c r="AB230" i="3"/>
  <c r="J229" i="5" s="1"/>
  <c r="AB251" i="3"/>
  <c r="AB272" i="3"/>
  <c r="AB294" i="3"/>
  <c r="J380" i="5" s="1"/>
  <c r="AB315" i="3"/>
  <c r="AB336" i="3"/>
  <c r="AB352" i="3"/>
  <c r="AB368" i="3"/>
  <c r="AB384" i="3"/>
  <c r="J383" i="5" s="1"/>
  <c r="AB400" i="3"/>
  <c r="J399" i="5" s="1"/>
  <c r="AB416" i="3"/>
  <c r="J415" i="5" s="1"/>
  <c r="AB44" i="3"/>
  <c r="J43" i="5" s="1"/>
  <c r="AB167" i="3"/>
  <c r="J166" i="5" s="1"/>
  <c r="AB252" i="3"/>
  <c r="AB337" i="3"/>
  <c r="AB401" i="3"/>
  <c r="AB84" i="3"/>
  <c r="J83" i="5" s="1"/>
  <c r="AB194" i="3"/>
  <c r="AB279" i="3"/>
  <c r="AB357" i="3"/>
  <c r="J309" i="5" s="1"/>
  <c r="AB421" i="3"/>
  <c r="J420" i="5" s="1"/>
  <c r="AB124" i="3"/>
  <c r="AB220" i="3"/>
  <c r="AB306" i="3"/>
  <c r="AB377" i="3"/>
  <c r="J376" i="5" s="1"/>
  <c r="AB162" i="3"/>
  <c r="AB68" i="3"/>
  <c r="AB413" i="3"/>
  <c r="AB365" i="3"/>
  <c r="J364" i="5" s="1"/>
  <c r="AB381" i="3"/>
  <c r="AA362" i="3"/>
  <c r="AA319" i="3"/>
  <c r="AA88" i="3"/>
  <c r="AA356" i="3"/>
  <c r="AA264" i="3"/>
  <c r="AA8" i="3"/>
  <c r="I7" i="5" s="1"/>
  <c r="AA351" i="3"/>
  <c r="AA248" i="3"/>
  <c r="AA410" i="3"/>
  <c r="I409" i="5" s="1"/>
  <c r="AA324" i="3"/>
  <c r="AA168" i="3"/>
  <c r="I167" i="5" s="1"/>
  <c r="AA419" i="3"/>
  <c r="I418" i="5" s="1"/>
  <c r="AA398" i="3"/>
  <c r="I397" i="5" s="1"/>
  <c r="AA376" i="3"/>
  <c r="I328" i="5" s="1"/>
  <c r="AA355" i="3"/>
  <c r="I354" i="5" s="1"/>
  <c r="AA334" i="3"/>
  <c r="AA312" i="3"/>
  <c r="AA291" i="3"/>
  <c r="AA260" i="3"/>
  <c r="I259" i="5" s="1"/>
  <c r="AA196" i="3"/>
  <c r="AA132" i="3"/>
  <c r="AA68" i="3"/>
  <c r="I67" i="5" s="1"/>
  <c r="AA4" i="3"/>
  <c r="I3" i="5" s="1"/>
  <c r="AA407" i="3"/>
  <c r="I406" i="5" s="1"/>
  <c r="AA386" i="3"/>
  <c r="AA364" i="3"/>
  <c r="AA343" i="3"/>
  <c r="I342" i="5" s="1"/>
  <c r="AA322" i="3"/>
  <c r="AA300" i="3"/>
  <c r="AA279" i="3"/>
  <c r="I278" i="5" s="1"/>
  <c r="AA224" i="3"/>
  <c r="I223" i="5" s="1"/>
  <c r="AA160" i="3"/>
  <c r="AA96" i="3"/>
  <c r="AA32" i="3"/>
  <c r="I31" i="5" s="1"/>
  <c r="AA411" i="3"/>
  <c r="I410" i="5" s="1"/>
  <c r="AA390" i="3"/>
  <c r="AA368" i="3"/>
  <c r="AA347" i="3"/>
  <c r="I299" i="5" s="1"/>
  <c r="AA326" i="3"/>
  <c r="AA304" i="3"/>
  <c r="AA283" i="3"/>
  <c r="AA236" i="3"/>
  <c r="I235" i="5" s="1"/>
  <c r="AA172" i="3"/>
  <c r="AA108" i="3"/>
  <c r="AA44" i="3"/>
  <c r="AA267" i="3"/>
  <c r="I266" i="5" s="1"/>
  <c r="AA251" i="3"/>
  <c r="I250" i="5" s="1"/>
  <c r="AA235" i="3"/>
  <c r="AA219" i="3"/>
  <c r="AA203" i="3"/>
  <c r="I202" i="5" s="1"/>
  <c r="AA187" i="3"/>
  <c r="I186" i="5" s="1"/>
  <c r="AA171" i="3"/>
  <c r="AA155" i="3"/>
  <c r="AA139" i="3"/>
  <c r="I138" i="5" s="1"/>
  <c r="AA123" i="3"/>
  <c r="I122" i="5" s="1"/>
  <c r="AA107" i="3"/>
  <c r="AA91" i="3"/>
  <c r="AA75" i="3"/>
  <c r="I74" i="5" s="1"/>
  <c r="AA59" i="3"/>
  <c r="AA43" i="3"/>
  <c r="AA27" i="3"/>
  <c r="AA11" i="3"/>
  <c r="AA266" i="3"/>
  <c r="I265" i="5" s="1"/>
  <c r="AA250" i="3"/>
  <c r="AA234" i="3"/>
  <c r="AA218" i="3"/>
  <c r="I217" i="5" s="1"/>
  <c r="AA202" i="3"/>
  <c r="I201" i="5" s="1"/>
  <c r="AA186" i="3"/>
  <c r="AA170" i="3"/>
  <c r="AA154" i="3"/>
  <c r="I153" i="5" s="1"/>
  <c r="AA138" i="3"/>
  <c r="I137" i="5" s="1"/>
  <c r="AA114" i="3"/>
  <c r="AA82" i="3"/>
  <c r="AA50" i="3"/>
  <c r="AA18" i="3"/>
  <c r="AA405" i="3"/>
  <c r="I404" i="5" s="1"/>
  <c r="AA373" i="3"/>
  <c r="AA341" i="3"/>
  <c r="I340" i="5" s="1"/>
  <c r="Y15" i="3"/>
  <c r="Y31" i="3"/>
  <c r="Y47" i="3"/>
  <c r="Y63" i="3"/>
  <c r="Y79" i="3"/>
  <c r="G78" i="5" s="1"/>
  <c r="Y95" i="3"/>
  <c r="Y111" i="3"/>
  <c r="Y127" i="3"/>
  <c r="G126" i="5" s="1"/>
  <c r="Y143" i="3"/>
  <c r="G142" i="5" s="1"/>
  <c r="Y159" i="3"/>
  <c r="G158" i="5" s="1"/>
  <c r="Y175" i="3"/>
  <c r="Y191" i="3"/>
  <c r="G190" i="5" s="1"/>
  <c r="Y207" i="3"/>
  <c r="G206" i="5" s="1"/>
  <c r="Y223" i="3"/>
  <c r="G222" i="5" s="1"/>
  <c r="Y239" i="3"/>
  <c r="Y255" i="3"/>
  <c r="G254" i="5" s="1"/>
  <c r="Y271" i="3"/>
  <c r="G270" i="5" s="1"/>
  <c r="Y12" i="3"/>
  <c r="Y28" i="3"/>
  <c r="Y44" i="3"/>
  <c r="G43" i="5" s="1"/>
  <c r="Y60" i="3"/>
  <c r="G59" i="5" s="1"/>
  <c r="Y76" i="3"/>
  <c r="Y92" i="3"/>
  <c r="Y108" i="3"/>
  <c r="Y124" i="3"/>
  <c r="G123" i="5" s="1"/>
  <c r="Y140" i="3"/>
  <c r="G139" i="5" s="1"/>
  <c r="Y26" i="3"/>
  <c r="Y58" i="3"/>
  <c r="G57" i="5" s="1"/>
  <c r="Y90" i="3"/>
  <c r="G89" i="5" s="1"/>
  <c r="Y122" i="3"/>
  <c r="Y152" i="3"/>
  <c r="Y173" i="3"/>
  <c r="G172" i="5" s="1"/>
  <c r="Y194" i="3"/>
  <c r="G193" i="5" s="1"/>
  <c r="Y216" i="3"/>
  <c r="Y237" i="3"/>
  <c r="Y258" i="3"/>
  <c r="G257" i="5" s="1"/>
  <c r="Y279" i="3"/>
  <c r="G278" i="5" s="1"/>
  <c r="Y295" i="3"/>
  <c r="Y311" i="3"/>
  <c r="Y327" i="3"/>
  <c r="Y343" i="3"/>
  <c r="Y359" i="3"/>
  <c r="Y375" i="3"/>
  <c r="Y391" i="3"/>
  <c r="Y407" i="3"/>
  <c r="G406" i="5" s="1"/>
  <c r="Y423" i="3"/>
  <c r="G422" i="5" s="1"/>
  <c r="Y29" i="3"/>
  <c r="Y61" i="3"/>
  <c r="G60" i="5" s="1"/>
  <c r="Y93" i="3"/>
  <c r="G92" i="5" s="1"/>
  <c r="Y125" i="3"/>
  <c r="Y153" i="3"/>
  <c r="Y174" i="3"/>
  <c r="G173" i="5" s="1"/>
  <c r="Y196" i="3"/>
  <c r="G195" i="5" s="1"/>
  <c r="Y217" i="3"/>
  <c r="Y238" i="3"/>
  <c r="Y260" i="3"/>
  <c r="G259" i="5" s="1"/>
  <c r="Y280" i="3"/>
  <c r="Y296" i="3"/>
  <c r="Y312" i="3"/>
  <c r="Y328" i="3"/>
  <c r="Y344" i="3"/>
  <c r="Y360" i="3"/>
  <c r="Y376" i="3"/>
  <c r="Y392" i="3"/>
  <c r="Y408" i="3"/>
  <c r="G407" i="5" s="1"/>
  <c r="Y424" i="3"/>
  <c r="G423" i="5" s="1"/>
  <c r="Y30" i="3"/>
  <c r="Y62" i="3"/>
  <c r="Y94" i="3"/>
  <c r="Y126" i="3"/>
  <c r="Y154" i="3"/>
  <c r="Y176" i="3"/>
  <c r="G175" i="5" s="1"/>
  <c r="Y197" i="3"/>
  <c r="G196" i="5" s="1"/>
  <c r="Y218" i="3"/>
  <c r="G217" i="5" s="1"/>
  <c r="Y240" i="3"/>
  <c r="Y261" i="3"/>
  <c r="G260" i="5" s="1"/>
  <c r="Y281" i="3"/>
  <c r="G280" i="5" s="1"/>
  <c r="Y297" i="3"/>
  <c r="Y313" i="3"/>
  <c r="Y329" i="3"/>
  <c r="Y345" i="3"/>
  <c r="Y361" i="3"/>
  <c r="Y377" i="3"/>
  <c r="Y393" i="3"/>
  <c r="G392" i="5" s="1"/>
  <c r="Y409" i="3"/>
  <c r="G408" i="5" s="1"/>
  <c r="Y33" i="3"/>
  <c r="Y156" i="3"/>
  <c r="Y241" i="3"/>
  <c r="G240" i="5" s="1"/>
  <c r="Y314" i="3"/>
  <c r="Y378" i="3"/>
  <c r="Y41" i="3"/>
  <c r="Y161" i="3"/>
  <c r="G160" i="5" s="1"/>
  <c r="Y246" i="3"/>
  <c r="G245" i="5" s="1"/>
  <c r="Y318" i="3"/>
  <c r="Y382" i="3"/>
  <c r="Y49" i="3"/>
  <c r="Y166" i="3"/>
  <c r="G165" i="5" s="1"/>
  <c r="Y252" i="3"/>
  <c r="Y322" i="3"/>
  <c r="Y386" i="3"/>
  <c r="Y150" i="3"/>
  <c r="G149" i="5" s="1"/>
  <c r="Y57" i="3"/>
  <c r="Y390" i="3"/>
  <c r="Y342" i="3"/>
  <c r="G294" i="5" s="1"/>
  <c r="Y214" i="3"/>
  <c r="G213" i="5" s="1"/>
  <c r="Y19" i="3"/>
  <c r="Y35" i="3"/>
  <c r="Y51" i="3"/>
  <c r="G50" i="5" s="1"/>
  <c r="Y67" i="3"/>
  <c r="Y83" i="3"/>
  <c r="Y99" i="3"/>
  <c r="Y115" i="3"/>
  <c r="Y131" i="3"/>
  <c r="G130" i="5" s="1"/>
  <c r="Y147" i="3"/>
  <c r="Y163" i="3"/>
  <c r="Y179" i="3"/>
  <c r="G178" i="5" s="1"/>
  <c r="Y195" i="3"/>
  <c r="G194" i="5" s="1"/>
  <c r="Y211" i="3"/>
  <c r="G210" i="5" s="1"/>
  <c r="Y227" i="3"/>
  <c r="Y243" i="3"/>
  <c r="G242" i="5" s="1"/>
  <c r="Y259" i="3"/>
  <c r="G258" i="5" s="1"/>
  <c r="Y275" i="3"/>
  <c r="G274" i="5" s="1"/>
  <c r="Y16" i="3"/>
  <c r="Y32" i="3"/>
  <c r="G31" i="5" s="1"/>
  <c r="Y48" i="3"/>
  <c r="G47" i="5" s="1"/>
  <c r="Y64" i="3"/>
  <c r="Y80" i="3"/>
  <c r="Y96" i="3"/>
  <c r="G95" i="5" s="1"/>
  <c r="Y112" i="3"/>
  <c r="G111" i="5" s="1"/>
  <c r="Y128" i="3"/>
  <c r="G127" i="5" s="1"/>
  <c r="Y144" i="3"/>
  <c r="Y34" i="3"/>
  <c r="Y66" i="3"/>
  <c r="Y98" i="3"/>
  <c r="Y130" i="3"/>
  <c r="Y157" i="3"/>
  <c r="G156" i="5" s="1"/>
  <c r="Y178" i="3"/>
  <c r="G177" i="5" s="1"/>
  <c r="Y200" i="3"/>
  <c r="G199" i="5" s="1"/>
  <c r="Y221" i="3"/>
  <c r="Y242" i="3"/>
  <c r="G241" i="5" s="1"/>
  <c r="Y264" i="3"/>
  <c r="G263" i="5" s="1"/>
  <c r="Y283" i="3"/>
  <c r="Y299" i="3"/>
  <c r="Y315" i="3"/>
  <c r="Y331" i="3"/>
  <c r="G330" i="5" s="1"/>
  <c r="Y347" i="3"/>
  <c r="Y363" i="3"/>
  <c r="Y379" i="3"/>
  <c r="Y395" i="3"/>
  <c r="G394" i="5" s="1"/>
  <c r="Y411" i="3"/>
  <c r="G410" i="5" s="1"/>
  <c r="Y5" i="3"/>
  <c r="Y37" i="3"/>
  <c r="Y69" i="3"/>
  <c r="Y101" i="3"/>
  <c r="Y133" i="3"/>
  <c r="Y158" i="3"/>
  <c r="G157" i="5" s="1"/>
  <c r="Y180" i="3"/>
  <c r="G179" i="5" s="1"/>
  <c r="Y201" i="3"/>
  <c r="G200" i="5" s="1"/>
  <c r="Y222" i="3"/>
  <c r="Y244" i="3"/>
  <c r="G243" i="5" s="1"/>
  <c r="Y265" i="3"/>
  <c r="G264" i="5" s="1"/>
  <c r="Y284" i="3"/>
  <c r="Y300" i="3"/>
  <c r="Y316" i="3"/>
  <c r="Y332" i="3"/>
  <c r="Y348" i="3"/>
  <c r="Y364" i="3"/>
  <c r="Y380" i="3"/>
  <c r="Y396" i="3"/>
  <c r="G395" i="5" s="1"/>
  <c r="Y412" i="3"/>
  <c r="G411" i="5" s="1"/>
  <c r="Y6" i="3"/>
  <c r="Y38" i="3"/>
  <c r="G37" i="5" s="1"/>
  <c r="Y70" i="3"/>
  <c r="G69" i="5" s="1"/>
  <c r="Y102" i="3"/>
  <c r="Y134" i="3"/>
  <c r="Y160" i="3"/>
  <c r="G159" i="5" s="1"/>
  <c r="Y181" i="3"/>
  <c r="G180" i="5" s="1"/>
  <c r="Y202" i="3"/>
  <c r="Y224" i="3"/>
  <c r="Y245" i="3"/>
  <c r="G244" i="5" s="1"/>
  <c r="Y266" i="3"/>
  <c r="G265" i="5" s="1"/>
  <c r="Y285" i="3"/>
  <c r="G284" i="5" s="1"/>
  <c r="Y301" i="3"/>
  <c r="Y317" i="3"/>
  <c r="Y333" i="3"/>
  <c r="Y349" i="3"/>
  <c r="Y365" i="3"/>
  <c r="Y381" i="3"/>
  <c r="G333" i="5" s="1"/>
  <c r="Y397" i="3"/>
  <c r="G396" i="5" s="1"/>
  <c r="Y413" i="3"/>
  <c r="G412" i="5" s="1"/>
  <c r="Y65" i="3"/>
  <c r="Y177" i="3"/>
  <c r="G176" i="5" s="1"/>
  <c r="Y262" i="3"/>
  <c r="G261" i="5" s="1"/>
  <c r="Y330" i="3"/>
  <c r="Y394" i="3"/>
  <c r="G393" i="5" s="1"/>
  <c r="Y73" i="3"/>
  <c r="Y182" i="3"/>
  <c r="G181" i="5" s="1"/>
  <c r="Y268" i="3"/>
  <c r="G267" i="5" s="1"/>
  <c r="Y334" i="3"/>
  <c r="Y398" i="3"/>
  <c r="G397" i="5" s="1"/>
  <c r="Y81" i="3"/>
  <c r="Y188" i="3"/>
  <c r="Y273" i="3"/>
  <c r="Y338" i="3"/>
  <c r="G290" i="5" s="1"/>
  <c r="Y402" i="3"/>
  <c r="G401" i="5" s="1"/>
  <c r="Y236" i="3"/>
  <c r="G235" i="5" s="1"/>
  <c r="Y172" i="3"/>
  <c r="Y89" i="3"/>
  <c r="Y406" i="3"/>
  <c r="G405" i="5" s="1"/>
  <c r="Y294" i="3"/>
  <c r="Y7" i="3"/>
  <c r="Y23" i="3"/>
  <c r="Y39" i="3"/>
  <c r="G38" i="5" s="1"/>
  <c r="Y55" i="3"/>
  <c r="Y71" i="3"/>
  <c r="Y87" i="3"/>
  <c r="G86" i="5" s="1"/>
  <c r="Y103" i="3"/>
  <c r="G102" i="5" s="1"/>
  <c r="Y119" i="3"/>
  <c r="G118" i="5" s="1"/>
  <c r="Y135" i="3"/>
  <c r="Y151" i="3"/>
  <c r="G150" i="5" s="1"/>
  <c r="Y167" i="3"/>
  <c r="Y183" i="3"/>
  <c r="G182" i="5" s="1"/>
  <c r="Y199" i="3"/>
  <c r="Y215" i="3"/>
  <c r="G214" i="5" s="1"/>
  <c r="Y231" i="3"/>
  <c r="G230" i="5" s="1"/>
  <c r="Y247" i="3"/>
  <c r="G246" i="5" s="1"/>
  <c r="Y263" i="3"/>
  <c r="Y4" i="3"/>
  <c r="Y20" i="3"/>
  <c r="Y36" i="3"/>
  <c r="Y52" i="3"/>
  <c r="Y68" i="3"/>
  <c r="G67" i="5" s="1"/>
  <c r="Y84" i="3"/>
  <c r="Y100" i="3"/>
  <c r="Y116" i="3"/>
  <c r="Y132" i="3"/>
  <c r="G131" i="5" s="1"/>
  <c r="Y10" i="3"/>
  <c r="G9" i="5" s="1"/>
  <c r="Y42" i="3"/>
  <c r="Y74" i="3"/>
  <c r="Y106" i="3"/>
  <c r="G105" i="5" s="1"/>
  <c r="Y138" i="3"/>
  <c r="G137" i="5" s="1"/>
  <c r="Y162" i="3"/>
  <c r="Y184" i="3"/>
  <c r="Y205" i="3"/>
  <c r="G204" i="5" s="1"/>
  <c r="Y226" i="3"/>
  <c r="G225" i="5" s="1"/>
  <c r="Y248" i="3"/>
  <c r="G247" i="5" s="1"/>
  <c r="Y269" i="3"/>
  <c r="Y287" i="3"/>
  <c r="G286" i="5" s="1"/>
  <c r="Y303" i="3"/>
  <c r="G302" i="5" s="1"/>
  <c r="Y319" i="3"/>
  <c r="Y335" i="3"/>
  <c r="Y351" i="3"/>
  <c r="Y367" i="3"/>
  <c r="G366" i="5" s="1"/>
  <c r="Y383" i="3"/>
  <c r="Y399" i="3"/>
  <c r="G398" i="5" s="1"/>
  <c r="Y415" i="3"/>
  <c r="Y13" i="3"/>
  <c r="G12" i="5" s="1"/>
  <c r="Y45" i="3"/>
  <c r="Y77" i="3"/>
  <c r="Y109" i="3"/>
  <c r="G108" i="5" s="1"/>
  <c r="Y141" i="3"/>
  <c r="G140" i="5" s="1"/>
  <c r="Y164" i="3"/>
  <c r="Y185" i="3"/>
  <c r="Y206" i="3"/>
  <c r="G205" i="5" s="1"/>
  <c r="Y228" i="3"/>
  <c r="G227" i="5" s="1"/>
  <c r="Y249" i="3"/>
  <c r="Y270" i="3"/>
  <c r="Y288" i="3"/>
  <c r="G287" i="5" s="1"/>
  <c r="Y304" i="3"/>
  <c r="Y320" i="3"/>
  <c r="Y336" i="3"/>
  <c r="Y352" i="3"/>
  <c r="Y368" i="3"/>
  <c r="Y384" i="3"/>
  <c r="Y400" i="3"/>
  <c r="G399" i="5" s="1"/>
  <c r="Y416" i="3"/>
  <c r="Y14" i="3"/>
  <c r="Y46" i="3"/>
  <c r="G45" i="5" s="1"/>
  <c r="Y78" i="3"/>
  <c r="Y110" i="3"/>
  <c r="Y142" i="3"/>
  <c r="G141" i="5" s="1"/>
  <c r="Y165" i="3"/>
  <c r="G164" i="5" s="1"/>
  <c r="Y186" i="3"/>
  <c r="Y208" i="3"/>
  <c r="G207" i="5" s="1"/>
  <c r="Y229" i="3"/>
  <c r="G228" i="5" s="1"/>
  <c r="Y250" i="3"/>
  <c r="Y272" i="3"/>
  <c r="Y289" i="3"/>
  <c r="G288" i="5" s="1"/>
  <c r="Y305" i="3"/>
  <c r="Y321" i="3"/>
  <c r="Y337" i="3"/>
  <c r="Y353" i="3"/>
  <c r="G305" i="5" s="1"/>
  <c r="Y369" i="3"/>
  <c r="Y385" i="3"/>
  <c r="Y401" i="3"/>
  <c r="G400" i="5" s="1"/>
  <c r="Y417" i="3"/>
  <c r="G416" i="5" s="1"/>
  <c r="Y97" i="3"/>
  <c r="G96" i="5" s="1"/>
  <c r="Y198" i="3"/>
  <c r="Y282" i="3"/>
  <c r="Y346" i="3"/>
  <c r="G298" i="5" s="1"/>
  <c r="Y410" i="3"/>
  <c r="G409" i="5" s="1"/>
  <c r="Y105" i="3"/>
  <c r="Y204" i="3"/>
  <c r="Y286" i="3"/>
  <c r="G285" i="5" s="1"/>
  <c r="Y350" i="3"/>
  <c r="G349" i="5" s="1"/>
  <c r="Y414" i="3"/>
  <c r="G413" i="5" s="1"/>
  <c r="Y113" i="3"/>
  <c r="Y209" i="3"/>
  <c r="G208" i="5" s="1"/>
  <c r="Y290" i="3"/>
  <c r="G289" i="5" s="1"/>
  <c r="Y354" i="3"/>
  <c r="Y418" i="3"/>
  <c r="G417" i="5" s="1"/>
  <c r="Y310" i="3"/>
  <c r="G309" i="5" s="1"/>
  <c r="Y257" i="3"/>
  <c r="G256" i="5" s="1"/>
  <c r="Y193" i="3"/>
  <c r="G192" i="5" s="1"/>
  <c r="Y121" i="3"/>
  <c r="Y358" i="3"/>
  <c r="G310" i="5" s="1"/>
  <c r="Y11" i="3"/>
  <c r="Y27" i="3"/>
  <c r="Y43" i="3"/>
  <c r="Y59" i="3"/>
  <c r="G58" i="5" s="1"/>
  <c r="Y75" i="3"/>
  <c r="G74" i="5" s="1"/>
  <c r="Y91" i="3"/>
  <c r="Y107" i="3"/>
  <c r="Y123" i="3"/>
  <c r="G122" i="5" s="1"/>
  <c r="Y139" i="3"/>
  <c r="G138" i="5" s="1"/>
  <c r="Y155" i="3"/>
  <c r="Y171" i="3"/>
  <c r="Y187" i="3"/>
  <c r="G186" i="5" s="1"/>
  <c r="Y203" i="3"/>
  <c r="G202" i="5" s="1"/>
  <c r="Y219" i="3"/>
  <c r="Y235" i="3"/>
  <c r="Y251" i="3"/>
  <c r="G250" i="5" s="1"/>
  <c r="Y267" i="3"/>
  <c r="G266" i="5" s="1"/>
  <c r="Y8" i="3"/>
  <c r="Y24" i="3"/>
  <c r="Y40" i="3"/>
  <c r="Y56" i="3"/>
  <c r="Y72" i="3"/>
  <c r="Y88" i="3"/>
  <c r="Y104" i="3"/>
  <c r="Y120" i="3"/>
  <c r="Y136" i="3"/>
  <c r="Y18" i="3"/>
  <c r="Y50" i="3"/>
  <c r="G49" i="5" s="1"/>
  <c r="Y82" i="3"/>
  <c r="Y114" i="3"/>
  <c r="Y146" i="3"/>
  <c r="Y168" i="3"/>
  <c r="G167" i="5" s="1"/>
  <c r="Y189" i="3"/>
  <c r="G188" i="5" s="1"/>
  <c r="Y210" i="3"/>
  <c r="Y232" i="3"/>
  <c r="Y253" i="3"/>
  <c r="G252" i="5" s="1"/>
  <c r="Y274" i="3"/>
  <c r="G273" i="5" s="1"/>
  <c r="Y291" i="3"/>
  <c r="G377" i="5" s="1"/>
  <c r="Y307" i="3"/>
  <c r="Y323" i="3"/>
  <c r="Y339" i="3"/>
  <c r="Y355" i="3"/>
  <c r="Y371" i="3"/>
  <c r="Y387" i="3"/>
  <c r="Y403" i="3"/>
  <c r="G402" i="5" s="1"/>
  <c r="Y419" i="3"/>
  <c r="G418" i="5" s="1"/>
  <c r="Y21" i="3"/>
  <c r="Y53" i="3"/>
  <c r="Y85" i="3"/>
  <c r="Y117" i="3"/>
  <c r="Y148" i="3"/>
  <c r="Y169" i="3"/>
  <c r="G168" i="5" s="1"/>
  <c r="Y190" i="3"/>
  <c r="G189" i="5" s="1"/>
  <c r="Y212" i="3"/>
  <c r="G211" i="5" s="1"/>
  <c r="Y233" i="3"/>
  <c r="Y254" i="3"/>
  <c r="G253" i="5" s="1"/>
  <c r="Y276" i="3"/>
  <c r="G275" i="5" s="1"/>
  <c r="Y292" i="3"/>
  <c r="Y308" i="3"/>
  <c r="Y324" i="3"/>
  <c r="Y340" i="3"/>
  <c r="Y356" i="3"/>
  <c r="Y372" i="3"/>
  <c r="Y388" i="3"/>
  <c r="Y404" i="3"/>
  <c r="G403" i="5" s="1"/>
  <c r="Y420" i="3"/>
  <c r="G419" i="5" s="1"/>
  <c r="Y22" i="3"/>
  <c r="Y54" i="3"/>
  <c r="G53" i="5" s="1"/>
  <c r="Y86" i="3"/>
  <c r="G85" i="5" s="1"/>
  <c r="Y118" i="3"/>
  <c r="G117" i="5" s="1"/>
  <c r="Y149" i="3"/>
  <c r="Y170" i="3"/>
  <c r="G169" i="5" s="1"/>
  <c r="Y192" i="3"/>
  <c r="G191" i="5" s="1"/>
  <c r="Y213" i="3"/>
  <c r="Y234" i="3"/>
  <c r="Y256" i="3"/>
  <c r="G255" i="5" s="1"/>
  <c r="Y277" i="3"/>
  <c r="G276" i="5" s="1"/>
  <c r="Y293" i="3"/>
  <c r="Y309" i="3"/>
  <c r="Y325" i="3"/>
  <c r="Y341" i="3"/>
  <c r="Y357" i="3"/>
  <c r="Y373" i="3"/>
  <c r="Y389" i="3"/>
  <c r="G341" i="5" s="1"/>
  <c r="Y405" i="3"/>
  <c r="G404" i="5" s="1"/>
  <c r="Y421" i="3"/>
  <c r="G420" i="5" s="1"/>
  <c r="Y129" i="3"/>
  <c r="Y220" i="3"/>
  <c r="G219" i="5" s="1"/>
  <c r="Y298" i="3"/>
  <c r="G297" i="5" s="1"/>
  <c r="Y362" i="3"/>
  <c r="Y9" i="3"/>
  <c r="Y137" i="3"/>
  <c r="G136" i="5" s="1"/>
  <c r="Y225" i="3"/>
  <c r="G224" i="5" s="1"/>
  <c r="Y302" i="3"/>
  <c r="Y366" i="3"/>
  <c r="Y17" i="3"/>
  <c r="Y145" i="3"/>
  <c r="G144" i="5" s="1"/>
  <c r="Y230" i="3"/>
  <c r="Y306" i="3"/>
  <c r="Y370" i="3"/>
  <c r="G322" i="5" s="1"/>
  <c r="Y25" i="3"/>
  <c r="G24" i="5" s="1"/>
  <c r="Y374" i="3"/>
  <c r="Y326" i="3"/>
  <c r="Y278" i="3"/>
  <c r="G277" i="5" s="1"/>
  <c r="Y422" i="3"/>
  <c r="G421" i="5" s="1"/>
  <c r="AA340" i="3"/>
  <c r="AA152" i="3"/>
  <c r="AA420" i="3"/>
  <c r="AA335" i="3"/>
  <c r="AA200" i="3"/>
  <c r="AA415" i="3"/>
  <c r="I414" i="5" s="1"/>
  <c r="AA330" i="3"/>
  <c r="I329" i="5" s="1"/>
  <c r="AA184" i="3"/>
  <c r="I183" i="5" s="1"/>
  <c r="AA388" i="3"/>
  <c r="AA303" i="3"/>
  <c r="AA104" i="3"/>
  <c r="AA414" i="3"/>
  <c r="I413" i="5" s="1"/>
  <c r="AA392" i="3"/>
  <c r="I344" i="5" s="1"/>
  <c r="AA371" i="3"/>
  <c r="AA350" i="3"/>
  <c r="I302" i="5" s="1"/>
  <c r="AA328" i="3"/>
  <c r="AA307" i="3"/>
  <c r="AA286" i="3"/>
  <c r="AA244" i="3"/>
  <c r="I243" i="5" s="1"/>
  <c r="AA180" i="3"/>
  <c r="I179" i="5" s="1"/>
  <c r="AA116" i="3"/>
  <c r="AA52" i="3"/>
  <c r="AA423" i="3"/>
  <c r="AA402" i="3"/>
  <c r="I401" i="5" s="1"/>
  <c r="AA380" i="3"/>
  <c r="AA359" i="3"/>
  <c r="AA338" i="3"/>
  <c r="I290" i="5" s="1"/>
  <c r="AA316" i="3"/>
  <c r="I315" i="5" s="1"/>
  <c r="AA295" i="3"/>
  <c r="I381" i="5" s="1"/>
  <c r="AA272" i="3"/>
  <c r="AA208" i="3"/>
  <c r="I207" i="5" s="1"/>
  <c r="AA144" i="3"/>
  <c r="I143" i="5" s="1"/>
  <c r="AA80" i="3"/>
  <c r="I79" i="5" s="1"/>
  <c r="AA16" i="3"/>
  <c r="AA406" i="3"/>
  <c r="AA384" i="3"/>
  <c r="AA363" i="3"/>
  <c r="AA342" i="3"/>
  <c r="AA320" i="3"/>
  <c r="AA299" i="3"/>
  <c r="AA278" i="3"/>
  <c r="I277" i="5" s="1"/>
  <c r="AA220" i="3"/>
  <c r="AA156" i="3"/>
  <c r="I155" i="5" s="1"/>
  <c r="AA92" i="3"/>
  <c r="I91" i="5" s="1"/>
  <c r="AA28" i="3"/>
  <c r="AA263" i="3"/>
  <c r="AA247" i="3"/>
  <c r="I246" i="5" s="1"/>
  <c r="AA231" i="3"/>
  <c r="I230" i="5" s="1"/>
  <c r="AA215" i="3"/>
  <c r="AA199" i="3"/>
  <c r="AA183" i="3"/>
  <c r="I182" i="5" s="1"/>
  <c r="AA167" i="3"/>
  <c r="I166" i="5" s="1"/>
  <c r="AA151" i="3"/>
  <c r="AA135" i="3"/>
  <c r="AA119" i="3"/>
  <c r="I118" i="5" s="1"/>
  <c r="AA103" i="3"/>
  <c r="AA87" i="3"/>
  <c r="AA71" i="3"/>
  <c r="AA55" i="3"/>
  <c r="I54" i="5" s="1"/>
  <c r="AA39" i="3"/>
  <c r="I38" i="5" s="1"/>
  <c r="AA23" i="3"/>
  <c r="AA7" i="3"/>
  <c r="AA262" i="3"/>
  <c r="I261" i="5" s="1"/>
  <c r="AA246" i="3"/>
  <c r="AA230" i="3"/>
  <c r="I229" i="5" s="1"/>
  <c r="AA214" i="3"/>
  <c r="AA198" i="3"/>
  <c r="I197" i="5" s="1"/>
  <c r="AA182" i="3"/>
  <c r="I181" i="5" s="1"/>
  <c r="AA166" i="3"/>
  <c r="I165" i="5" s="1"/>
  <c r="AA150" i="3"/>
  <c r="AA134" i="3"/>
  <c r="I133" i="5" s="1"/>
  <c r="AA110" i="3"/>
  <c r="AA78" i="3"/>
  <c r="AA46" i="3"/>
  <c r="AA14" i="3"/>
  <c r="AA401" i="3"/>
  <c r="I400" i="5" s="1"/>
  <c r="AA369" i="3"/>
  <c r="AA337" i="3"/>
  <c r="Z16" i="3"/>
  <c r="Z32" i="3"/>
  <c r="Z6" i="3"/>
  <c r="Z27" i="3"/>
  <c r="Z48" i="3"/>
  <c r="Z64" i="3"/>
  <c r="Z80" i="3"/>
  <c r="Z96" i="3"/>
  <c r="Z112" i="3"/>
  <c r="Z128" i="3"/>
  <c r="H127" i="5" s="1"/>
  <c r="Z144" i="3"/>
  <c r="Z160" i="3"/>
  <c r="Z176" i="3"/>
  <c r="H175" i="5" s="1"/>
  <c r="Z192" i="3"/>
  <c r="H191" i="5" s="1"/>
  <c r="Z208" i="3"/>
  <c r="Z224" i="3"/>
  <c r="Z240" i="3"/>
  <c r="H239" i="5" s="1"/>
  <c r="Z256" i="3"/>
  <c r="H255" i="5" s="1"/>
  <c r="Z272" i="3"/>
  <c r="Z288" i="3"/>
  <c r="Z304" i="3"/>
  <c r="Z320" i="3"/>
  <c r="Z336" i="3"/>
  <c r="Z352" i="3"/>
  <c r="Z368" i="3"/>
  <c r="H320" i="5" s="1"/>
  <c r="Z384" i="3"/>
  <c r="Z400" i="3"/>
  <c r="H399" i="5" s="1"/>
  <c r="Z416" i="3"/>
  <c r="H415" i="5" s="1"/>
  <c r="Z13" i="3"/>
  <c r="Z34" i="3"/>
  <c r="Z53" i="3"/>
  <c r="Z69" i="3"/>
  <c r="Z85" i="3"/>
  <c r="Z101" i="3"/>
  <c r="Z117" i="3"/>
  <c r="Z133" i="3"/>
  <c r="Z149" i="3"/>
  <c r="H148" i="5" s="1"/>
  <c r="Z165" i="3"/>
  <c r="H164" i="5" s="1"/>
  <c r="Z181" i="3"/>
  <c r="Z197" i="3"/>
  <c r="Z213" i="3"/>
  <c r="H212" i="5" s="1"/>
  <c r="Z229" i="3"/>
  <c r="H228" i="5" s="1"/>
  <c r="Z245" i="3"/>
  <c r="Z261" i="3"/>
  <c r="Z277" i="3"/>
  <c r="H276" i="5" s="1"/>
  <c r="Z293" i="3"/>
  <c r="Z309" i="3"/>
  <c r="Z325" i="3"/>
  <c r="Z341" i="3"/>
  <c r="H293" i="5" s="1"/>
  <c r="Z357" i="3"/>
  <c r="Z373" i="3"/>
  <c r="Z389" i="3"/>
  <c r="Z405" i="3"/>
  <c r="Z421" i="3"/>
  <c r="H420" i="5" s="1"/>
  <c r="Z25" i="3"/>
  <c r="Z46" i="3"/>
  <c r="Z62" i="3"/>
  <c r="Z78" i="3"/>
  <c r="Z94" i="3"/>
  <c r="Z110" i="3"/>
  <c r="Z126" i="3"/>
  <c r="H125" i="5" s="1"/>
  <c r="Z142" i="3"/>
  <c r="H141" i="5" s="1"/>
  <c r="Z158" i="3"/>
  <c r="Z174" i="3"/>
  <c r="Z190" i="3"/>
  <c r="H189" i="5" s="1"/>
  <c r="Z206" i="3"/>
  <c r="H205" i="5" s="1"/>
  <c r="Z222" i="3"/>
  <c r="Z238" i="3"/>
  <c r="Z254" i="3"/>
  <c r="H253" i="5" s="1"/>
  <c r="Z270" i="3"/>
  <c r="H269" i="5" s="1"/>
  <c r="Z286" i="3"/>
  <c r="Z302" i="3"/>
  <c r="Z318" i="3"/>
  <c r="Z334" i="3"/>
  <c r="Z350" i="3"/>
  <c r="Z366" i="3"/>
  <c r="Z382" i="3"/>
  <c r="H381" i="5" s="1"/>
  <c r="Z398" i="3"/>
  <c r="H397" i="5" s="1"/>
  <c r="Z10" i="3"/>
  <c r="Z83" i="3"/>
  <c r="Z147" i="3"/>
  <c r="H146" i="5" s="1"/>
  <c r="Z211" i="3"/>
  <c r="H210" i="5" s="1"/>
  <c r="Z275" i="3"/>
  <c r="Z339" i="3"/>
  <c r="Z403" i="3"/>
  <c r="Z37" i="3"/>
  <c r="Z103" i="3"/>
  <c r="Z167" i="3"/>
  <c r="Z231" i="3"/>
  <c r="H230" i="5" s="1"/>
  <c r="Z295" i="3"/>
  <c r="H294" i="5" s="1"/>
  <c r="Z359" i="3"/>
  <c r="Z418" i="3"/>
  <c r="H417" i="5" s="1"/>
  <c r="Z75" i="3"/>
  <c r="Z139" i="3"/>
  <c r="H138" i="5" s="1"/>
  <c r="Z203" i="3"/>
  <c r="Z267" i="3"/>
  <c r="Z331" i="3"/>
  <c r="Z395" i="3"/>
  <c r="H394" i="5" s="1"/>
  <c r="Z111" i="3"/>
  <c r="Z367" i="3"/>
  <c r="Z191" i="3"/>
  <c r="H190" i="5" s="1"/>
  <c r="Z5" i="3"/>
  <c r="Z271" i="3"/>
  <c r="Z26" i="3"/>
  <c r="Z159" i="3"/>
  <c r="H158" i="5" s="1"/>
  <c r="Z4" i="3"/>
  <c r="Z20" i="3"/>
  <c r="Z36" i="3"/>
  <c r="Z11" i="3"/>
  <c r="Z33" i="3"/>
  <c r="Z52" i="3"/>
  <c r="Z68" i="3"/>
  <c r="Z84" i="3"/>
  <c r="Z100" i="3"/>
  <c r="Z116" i="3"/>
  <c r="Z132" i="3"/>
  <c r="Z148" i="3"/>
  <c r="H147" i="5" s="1"/>
  <c r="Z164" i="3"/>
  <c r="Z180" i="3"/>
  <c r="Z196" i="3"/>
  <c r="Z212" i="3"/>
  <c r="H211" i="5" s="1"/>
  <c r="Z228" i="3"/>
  <c r="H227" i="5" s="1"/>
  <c r="Z244" i="3"/>
  <c r="Z260" i="3"/>
  <c r="Z276" i="3"/>
  <c r="H275" i="5" s="1"/>
  <c r="Z292" i="3"/>
  <c r="H291" i="5" s="1"/>
  <c r="Z308" i="3"/>
  <c r="Z324" i="3"/>
  <c r="Z340" i="3"/>
  <c r="Z356" i="3"/>
  <c r="Z372" i="3"/>
  <c r="Z388" i="3"/>
  <c r="Z404" i="3"/>
  <c r="Z420" i="3"/>
  <c r="H419" i="5" s="1"/>
  <c r="Z18" i="3"/>
  <c r="Z39" i="3"/>
  <c r="Z57" i="3"/>
  <c r="Z73" i="3"/>
  <c r="Z89" i="3"/>
  <c r="Z105" i="3"/>
  <c r="Z121" i="3"/>
  <c r="H120" i="5" s="1"/>
  <c r="Z137" i="3"/>
  <c r="H136" i="5" s="1"/>
  <c r="Z153" i="3"/>
  <c r="Z169" i="3"/>
  <c r="Z185" i="3"/>
  <c r="H184" i="5" s="1"/>
  <c r="Z201" i="3"/>
  <c r="H200" i="5" s="1"/>
  <c r="Z217" i="3"/>
  <c r="Z233" i="3"/>
  <c r="Z249" i="3"/>
  <c r="H248" i="5" s="1"/>
  <c r="Z265" i="3"/>
  <c r="H264" i="5" s="1"/>
  <c r="Z281" i="3"/>
  <c r="Z297" i="3"/>
  <c r="Z313" i="3"/>
  <c r="Z329" i="3"/>
  <c r="Z345" i="3"/>
  <c r="Z361" i="3"/>
  <c r="Z377" i="3"/>
  <c r="Z393" i="3"/>
  <c r="H392" i="5" s="1"/>
  <c r="Z409" i="3"/>
  <c r="H408" i="5" s="1"/>
  <c r="Z9" i="3"/>
  <c r="Z30" i="3"/>
  <c r="Z50" i="3"/>
  <c r="Z66" i="3"/>
  <c r="Z82" i="3"/>
  <c r="Z98" i="3"/>
  <c r="Z114" i="3"/>
  <c r="Z130" i="3"/>
  <c r="Z146" i="3"/>
  <c r="Z162" i="3"/>
  <c r="H161" i="5" s="1"/>
  <c r="Z178" i="3"/>
  <c r="H177" i="5" s="1"/>
  <c r="Z194" i="3"/>
  <c r="Z210" i="3"/>
  <c r="Z226" i="3"/>
  <c r="H225" i="5" s="1"/>
  <c r="Z242" i="3"/>
  <c r="H241" i="5" s="1"/>
  <c r="Z258" i="3"/>
  <c r="Z274" i="3"/>
  <c r="Z290" i="3"/>
  <c r="H289" i="5" s="1"/>
  <c r="Z306" i="3"/>
  <c r="H305" i="5" s="1"/>
  <c r="Z322" i="3"/>
  <c r="Z338" i="3"/>
  <c r="Z354" i="3"/>
  <c r="H306" i="5" s="1"/>
  <c r="Z370" i="3"/>
  <c r="H369" i="5" s="1"/>
  <c r="Z386" i="3"/>
  <c r="Z402" i="3"/>
  <c r="H401" i="5" s="1"/>
  <c r="Z31" i="3"/>
  <c r="Z99" i="3"/>
  <c r="Z163" i="3"/>
  <c r="Z227" i="3"/>
  <c r="Z291" i="3"/>
  <c r="Z355" i="3"/>
  <c r="Z415" i="3"/>
  <c r="H414" i="5" s="1"/>
  <c r="Z55" i="3"/>
  <c r="Z119" i="3"/>
  <c r="H118" i="5" s="1"/>
  <c r="Z183" i="3"/>
  <c r="H182" i="5" s="1"/>
  <c r="Z247" i="3"/>
  <c r="Z311" i="3"/>
  <c r="Z375" i="3"/>
  <c r="Z21" i="3"/>
  <c r="Z91" i="3"/>
  <c r="Z155" i="3"/>
  <c r="Z219" i="3"/>
  <c r="H218" i="5" s="1"/>
  <c r="Z283" i="3"/>
  <c r="H282" i="5" s="1"/>
  <c r="Z347" i="3"/>
  <c r="Z411" i="3"/>
  <c r="H410" i="5" s="1"/>
  <c r="Z175" i="3"/>
  <c r="H174" i="5" s="1"/>
  <c r="Z422" i="3"/>
  <c r="H421" i="5" s="1"/>
  <c r="Z255" i="3"/>
  <c r="Z79" i="3"/>
  <c r="Z335" i="3"/>
  <c r="Z287" i="3"/>
  <c r="H286" i="5" s="1"/>
  <c r="Z414" i="3"/>
  <c r="H413" i="5" s="1"/>
  <c r="Z8" i="3"/>
  <c r="Z24" i="3"/>
  <c r="Z40" i="3"/>
  <c r="Z17" i="3"/>
  <c r="Z38" i="3"/>
  <c r="Z56" i="3"/>
  <c r="Z72" i="3"/>
  <c r="Z88" i="3"/>
  <c r="Z104" i="3"/>
  <c r="Z120" i="3"/>
  <c r="H119" i="5" s="1"/>
  <c r="Z136" i="3"/>
  <c r="H135" i="5" s="1"/>
  <c r="Z152" i="3"/>
  <c r="Z168" i="3"/>
  <c r="Z184" i="3"/>
  <c r="H183" i="5" s="1"/>
  <c r="Z200" i="3"/>
  <c r="H199" i="5" s="1"/>
  <c r="Z216" i="3"/>
  <c r="Z232" i="3"/>
  <c r="Z248" i="3"/>
  <c r="H247" i="5" s="1"/>
  <c r="Z264" i="3"/>
  <c r="H263" i="5" s="1"/>
  <c r="Z280" i="3"/>
  <c r="Z296" i="3"/>
  <c r="Z312" i="3"/>
  <c r="Z328" i="3"/>
  <c r="Z344" i="3"/>
  <c r="Z360" i="3"/>
  <c r="Z376" i="3"/>
  <c r="Z392" i="3"/>
  <c r="Z408" i="3"/>
  <c r="H407" i="5" s="1"/>
  <c r="Z424" i="3"/>
  <c r="H423" i="5" s="1"/>
  <c r="Z23" i="3"/>
  <c r="Z45" i="3"/>
  <c r="Z61" i="3"/>
  <c r="Z77" i="3"/>
  <c r="Z93" i="3"/>
  <c r="Z109" i="3"/>
  <c r="Z125" i="3"/>
  <c r="Z141" i="3"/>
  <c r="Z157" i="3"/>
  <c r="H156" i="5" s="1"/>
  <c r="Z173" i="3"/>
  <c r="H172" i="5" s="1"/>
  <c r="Z189" i="3"/>
  <c r="Z205" i="3"/>
  <c r="Z221" i="3"/>
  <c r="H220" i="5" s="1"/>
  <c r="Z237" i="3"/>
  <c r="H236" i="5" s="1"/>
  <c r="Z253" i="3"/>
  <c r="Z269" i="3"/>
  <c r="Z285" i="3"/>
  <c r="Z301" i="3"/>
  <c r="Z317" i="3"/>
  <c r="Z333" i="3"/>
  <c r="Z349" i="3"/>
  <c r="H301" i="5" s="1"/>
  <c r="Z365" i="3"/>
  <c r="Z381" i="3"/>
  <c r="Z397" i="3"/>
  <c r="H396" i="5" s="1"/>
  <c r="Z413" i="3"/>
  <c r="Z14" i="3"/>
  <c r="Z35" i="3"/>
  <c r="Z54" i="3"/>
  <c r="Z70" i="3"/>
  <c r="Z86" i="3"/>
  <c r="Z102" i="3"/>
  <c r="Z118" i="3"/>
  <c r="Z134" i="3"/>
  <c r="H133" i="5" s="1"/>
  <c r="Z150" i="3"/>
  <c r="H149" i="5" s="1"/>
  <c r="Z166" i="3"/>
  <c r="Z182" i="3"/>
  <c r="Z198" i="3"/>
  <c r="H197" i="5" s="1"/>
  <c r="Z214" i="3"/>
  <c r="H213" i="5" s="1"/>
  <c r="Z230" i="3"/>
  <c r="Z246" i="3"/>
  <c r="Z262" i="3"/>
  <c r="Z278" i="3"/>
  <c r="H277" i="5" s="1"/>
  <c r="Z294" i="3"/>
  <c r="Z310" i="3"/>
  <c r="Z326" i="3"/>
  <c r="Z342" i="3"/>
  <c r="Z358" i="3"/>
  <c r="Z374" i="3"/>
  <c r="Z390" i="3"/>
  <c r="H342" i="5" s="1"/>
  <c r="Z406" i="3"/>
  <c r="H405" i="5" s="1"/>
  <c r="Z51" i="3"/>
  <c r="Z115" i="3"/>
  <c r="Z179" i="3"/>
  <c r="H178" i="5" s="1"/>
  <c r="Z243" i="3"/>
  <c r="H242" i="5" s="1"/>
  <c r="Z307" i="3"/>
  <c r="Z371" i="3"/>
  <c r="Z423" i="3"/>
  <c r="Z71" i="3"/>
  <c r="Z135" i="3"/>
  <c r="Z199" i="3"/>
  <c r="Z263" i="3"/>
  <c r="H262" i="5" s="1"/>
  <c r="Z327" i="3"/>
  <c r="Z391" i="3"/>
  <c r="Z42" i="3"/>
  <c r="Z107" i="3"/>
  <c r="Z171" i="3"/>
  <c r="H170" i="5" s="1"/>
  <c r="Z235" i="3"/>
  <c r="Z299" i="3"/>
  <c r="Z363" i="3"/>
  <c r="Z419" i="3"/>
  <c r="H418" i="5" s="1"/>
  <c r="Z239" i="3"/>
  <c r="Z63" i="3"/>
  <c r="Z319" i="3"/>
  <c r="Z143" i="3"/>
  <c r="H142" i="5" s="1"/>
  <c r="Z399" i="3"/>
  <c r="H398" i="5" s="1"/>
  <c r="Z95" i="3"/>
  <c r="Z12" i="3"/>
  <c r="Z28" i="3"/>
  <c r="Z44" i="3"/>
  <c r="Z22" i="3"/>
  <c r="Z43" i="3"/>
  <c r="Z60" i="3"/>
  <c r="Z76" i="3"/>
  <c r="Z92" i="3"/>
  <c r="Z108" i="3"/>
  <c r="Z124" i="3"/>
  <c r="H123" i="5" s="1"/>
  <c r="Z140" i="3"/>
  <c r="Z156" i="3"/>
  <c r="Z172" i="3"/>
  <c r="H171" i="5" s="1"/>
  <c r="Z188" i="3"/>
  <c r="H187" i="5" s="1"/>
  <c r="Z204" i="3"/>
  <c r="Z220" i="3"/>
  <c r="Z236" i="3"/>
  <c r="H235" i="5" s="1"/>
  <c r="Z252" i="3"/>
  <c r="H251" i="5" s="1"/>
  <c r="Z268" i="3"/>
  <c r="Z284" i="3"/>
  <c r="Z300" i="3"/>
  <c r="Z316" i="3"/>
  <c r="Z332" i="3"/>
  <c r="Z348" i="3"/>
  <c r="Z364" i="3"/>
  <c r="H316" i="5" s="1"/>
  <c r="Z380" i="3"/>
  <c r="H379" i="5" s="1"/>
  <c r="Z396" i="3"/>
  <c r="H395" i="5" s="1"/>
  <c r="Z412" i="3"/>
  <c r="H411" i="5" s="1"/>
  <c r="Z7" i="3"/>
  <c r="Z29" i="3"/>
  <c r="Z49" i="3"/>
  <c r="Z65" i="3"/>
  <c r="Z81" i="3"/>
  <c r="Z97" i="3"/>
  <c r="Z113" i="3"/>
  <c r="Z129" i="3"/>
  <c r="Z145" i="3"/>
  <c r="H144" i="5" s="1"/>
  <c r="Z161" i="3"/>
  <c r="H160" i="5" s="1"/>
  <c r="Z177" i="3"/>
  <c r="Z193" i="3"/>
  <c r="Z209" i="3"/>
  <c r="H208" i="5" s="1"/>
  <c r="Z225" i="3"/>
  <c r="H224" i="5" s="1"/>
  <c r="Z241" i="3"/>
  <c r="Z257" i="3"/>
  <c r="Z273" i="3"/>
  <c r="H272" i="5" s="1"/>
  <c r="Z289" i="3"/>
  <c r="H288" i="5" s="1"/>
  <c r="Z305" i="3"/>
  <c r="Z321" i="3"/>
  <c r="Z337" i="3"/>
  <c r="H336" i="5" s="1"/>
  <c r="Z353" i="3"/>
  <c r="Z369" i="3"/>
  <c r="Z385" i="3"/>
  <c r="Z401" i="3"/>
  <c r="Z417" i="3"/>
  <c r="H416" i="5" s="1"/>
  <c r="Z19" i="3"/>
  <c r="Z41" i="3"/>
  <c r="Z58" i="3"/>
  <c r="Z74" i="3"/>
  <c r="Z90" i="3"/>
  <c r="Z106" i="3"/>
  <c r="Z122" i="3"/>
  <c r="H121" i="5" s="1"/>
  <c r="Z138" i="3"/>
  <c r="H137" i="5" s="1"/>
  <c r="Z154" i="3"/>
  <c r="Z170" i="3"/>
  <c r="Z186" i="3"/>
  <c r="H185" i="5" s="1"/>
  <c r="Z202" i="3"/>
  <c r="H201" i="5" s="1"/>
  <c r="Z218" i="3"/>
  <c r="Z234" i="3"/>
  <c r="Z250" i="3"/>
  <c r="H249" i="5" s="1"/>
  <c r="Z266" i="3"/>
  <c r="H265" i="5" s="1"/>
  <c r="Z282" i="3"/>
  <c r="Z298" i="3"/>
  <c r="Z314" i="3"/>
  <c r="Z330" i="3"/>
  <c r="Z346" i="3"/>
  <c r="Z362" i="3"/>
  <c r="Z378" i="3"/>
  <c r="H330" i="5" s="1"/>
  <c r="Z394" i="3"/>
  <c r="H393" i="5" s="1"/>
  <c r="Z410" i="3"/>
  <c r="H409" i="5" s="1"/>
  <c r="Z67" i="3"/>
  <c r="Z131" i="3"/>
  <c r="H130" i="5" s="1"/>
  <c r="Z195" i="3"/>
  <c r="H194" i="5" s="1"/>
  <c r="Z259" i="3"/>
  <c r="Z323" i="3"/>
  <c r="Z387" i="3"/>
  <c r="H339" i="5" s="1"/>
  <c r="Z15" i="3"/>
  <c r="Z87" i="3"/>
  <c r="Z151" i="3"/>
  <c r="Z215" i="3"/>
  <c r="H214" i="5" s="1"/>
  <c r="Z279" i="3"/>
  <c r="H278" i="5" s="1"/>
  <c r="Z343" i="3"/>
  <c r="Z407" i="3"/>
  <c r="H406" i="5" s="1"/>
  <c r="Z59" i="3"/>
  <c r="Z123" i="3"/>
  <c r="H122" i="5" s="1"/>
  <c r="Z187" i="3"/>
  <c r="Z251" i="3"/>
  <c r="Z315" i="3"/>
  <c r="Z379" i="3"/>
  <c r="H378" i="5" s="1"/>
  <c r="Z47" i="3"/>
  <c r="Z303" i="3"/>
  <c r="Z127" i="3"/>
  <c r="H126" i="5" s="1"/>
  <c r="Z383" i="3"/>
  <c r="Z207" i="3"/>
  <c r="Z223" i="3"/>
  <c r="Z351" i="3"/>
  <c r="H303" i="5" s="1"/>
  <c r="X6" i="3"/>
  <c r="X22" i="3"/>
  <c r="X38" i="3"/>
  <c r="X54" i="3"/>
  <c r="X70" i="3"/>
  <c r="X86" i="3"/>
  <c r="X102" i="3"/>
  <c r="X118" i="3"/>
  <c r="F117" i="5" s="1"/>
  <c r="X134" i="3"/>
  <c r="F133" i="5" s="1"/>
  <c r="X150" i="3"/>
  <c r="X166" i="3"/>
  <c r="X182" i="3"/>
  <c r="F181" i="5" s="1"/>
  <c r="X198" i="3"/>
  <c r="F197" i="5" s="1"/>
  <c r="X214" i="3"/>
  <c r="X230" i="3"/>
  <c r="X246" i="3"/>
  <c r="F245" i="5" s="1"/>
  <c r="X262" i="3"/>
  <c r="F261" i="5" s="1"/>
  <c r="X278" i="3"/>
  <c r="X294" i="3"/>
  <c r="X310" i="3"/>
  <c r="X326" i="3"/>
  <c r="F325" i="5" s="1"/>
  <c r="X342" i="3"/>
  <c r="X358" i="3"/>
  <c r="X374" i="3"/>
  <c r="X390" i="3"/>
  <c r="X406" i="3"/>
  <c r="F405" i="5" s="1"/>
  <c r="X422" i="3"/>
  <c r="F421" i="5" s="1"/>
  <c r="X19" i="3"/>
  <c r="X35" i="3"/>
  <c r="X51" i="3"/>
  <c r="X67" i="3"/>
  <c r="X83" i="3"/>
  <c r="X99" i="3"/>
  <c r="X115" i="3"/>
  <c r="X131" i="3"/>
  <c r="X147" i="3"/>
  <c r="F146" i="5" s="1"/>
  <c r="X163" i="3"/>
  <c r="F162" i="5" s="1"/>
  <c r="X179" i="3"/>
  <c r="X195" i="3"/>
  <c r="X211" i="3"/>
  <c r="F210" i="5" s="1"/>
  <c r="X227" i="3"/>
  <c r="F226" i="5" s="1"/>
  <c r="X243" i="3"/>
  <c r="X259" i="3"/>
  <c r="X275" i="3"/>
  <c r="F274" i="5" s="1"/>
  <c r="X291" i="3"/>
  <c r="F290" i="5" s="1"/>
  <c r="X307" i="3"/>
  <c r="X323" i="3"/>
  <c r="X12" i="3"/>
  <c r="X28" i="3"/>
  <c r="X44" i="3"/>
  <c r="X60" i="3"/>
  <c r="X76" i="3"/>
  <c r="X92" i="3"/>
  <c r="X108" i="3"/>
  <c r="X124" i="3"/>
  <c r="X140" i="3"/>
  <c r="F139" i="5" s="1"/>
  <c r="X156" i="3"/>
  <c r="F155" i="5" s="1"/>
  <c r="X172" i="3"/>
  <c r="X188" i="3"/>
  <c r="X204" i="3"/>
  <c r="F203" i="5" s="1"/>
  <c r="X220" i="3"/>
  <c r="F219" i="5" s="1"/>
  <c r="X236" i="3"/>
  <c r="X252" i="3"/>
  <c r="X268" i="3"/>
  <c r="F267" i="5" s="1"/>
  <c r="X284" i="3"/>
  <c r="F283" i="5" s="1"/>
  <c r="X300" i="3"/>
  <c r="X316" i="3"/>
  <c r="X332" i="3"/>
  <c r="X348" i="3"/>
  <c r="X364" i="3"/>
  <c r="X380" i="3"/>
  <c r="X396" i="3"/>
  <c r="X412" i="3"/>
  <c r="F411" i="5" s="1"/>
  <c r="X5" i="3"/>
  <c r="X69" i="3"/>
  <c r="X133" i="3"/>
  <c r="F132" i="5" s="1"/>
  <c r="X197" i="3"/>
  <c r="F196" i="5" s="1"/>
  <c r="X261" i="3"/>
  <c r="X325" i="3"/>
  <c r="X359" i="3"/>
  <c r="F311" i="5" s="1"/>
  <c r="X391" i="3"/>
  <c r="X423" i="3"/>
  <c r="F422" i="5" s="1"/>
  <c r="X57" i="3"/>
  <c r="X121" i="3"/>
  <c r="F120" i="5" s="1"/>
  <c r="X185" i="3"/>
  <c r="F184" i="5" s="1"/>
  <c r="X249" i="3"/>
  <c r="X313" i="3"/>
  <c r="X353" i="3"/>
  <c r="F305" i="5" s="1"/>
  <c r="X385" i="3"/>
  <c r="F384" i="5" s="1"/>
  <c r="X417" i="3"/>
  <c r="F416" i="5" s="1"/>
  <c r="X61" i="3"/>
  <c r="X125" i="3"/>
  <c r="F124" i="5" s="1"/>
  <c r="X189" i="3"/>
  <c r="F188" i="5" s="1"/>
  <c r="X253" i="3"/>
  <c r="X317" i="3"/>
  <c r="X355" i="3"/>
  <c r="X387" i="3"/>
  <c r="X419" i="3"/>
  <c r="F418" i="5" s="1"/>
  <c r="X209" i="3"/>
  <c r="X397" i="3"/>
  <c r="X225" i="3"/>
  <c r="F224" i="5" s="1"/>
  <c r="X405" i="3"/>
  <c r="F404" i="5" s="1"/>
  <c r="X241" i="3"/>
  <c r="X413" i="3"/>
  <c r="X321" i="3"/>
  <c r="X193" i="3"/>
  <c r="X10" i="3"/>
  <c r="X26" i="3"/>
  <c r="X42" i="3"/>
  <c r="X58" i="3"/>
  <c r="X74" i="3"/>
  <c r="X90" i="3"/>
  <c r="X106" i="3"/>
  <c r="X122" i="3"/>
  <c r="X138" i="3"/>
  <c r="X154" i="3"/>
  <c r="X170" i="3"/>
  <c r="F169" i="5" s="1"/>
  <c r="X186" i="3"/>
  <c r="X202" i="3"/>
  <c r="X218" i="3"/>
  <c r="F217" i="5" s="1"/>
  <c r="X234" i="3"/>
  <c r="F233" i="5" s="1"/>
  <c r="X250" i="3"/>
  <c r="X266" i="3"/>
  <c r="X282" i="3"/>
  <c r="X298" i="3"/>
  <c r="X314" i="3"/>
  <c r="X330" i="3"/>
  <c r="X346" i="3"/>
  <c r="X362" i="3"/>
  <c r="F361" i="5" s="1"/>
  <c r="X378" i="3"/>
  <c r="X394" i="3"/>
  <c r="F393" i="5" s="1"/>
  <c r="X410" i="3"/>
  <c r="F409" i="5" s="1"/>
  <c r="X7" i="3"/>
  <c r="X23" i="3"/>
  <c r="X39" i="3"/>
  <c r="X55" i="3"/>
  <c r="X71" i="3"/>
  <c r="X87" i="3"/>
  <c r="X103" i="3"/>
  <c r="X119" i="3"/>
  <c r="F118" i="5" s="1"/>
  <c r="X135" i="3"/>
  <c r="F134" i="5" s="1"/>
  <c r="X151" i="3"/>
  <c r="X167" i="3"/>
  <c r="X183" i="3"/>
  <c r="F182" i="5" s="1"/>
  <c r="X199" i="3"/>
  <c r="F198" i="5" s="1"/>
  <c r="X215" i="3"/>
  <c r="X231" i="3"/>
  <c r="X247" i="3"/>
  <c r="F246" i="5" s="1"/>
  <c r="X263" i="3"/>
  <c r="F262" i="5" s="1"/>
  <c r="X279" i="3"/>
  <c r="X295" i="3"/>
  <c r="X311" i="3"/>
  <c r="X327" i="3"/>
  <c r="X16" i="3"/>
  <c r="X32" i="3"/>
  <c r="X48" i="3"/>
  <c r="X64" i="3"/>
  <c r="X80" i="3"/>
  <c r="X96" i="3"/>
  <c r="X112" i="3"/>
  <c r="X128" i="3"/>
  <c r="F127" i="5" s="1"/>
  <c r="X144" i="3"/>
  <c r="X160" i="3"/>
  <c r="X176" i="3"/>
  <c r="F175" i="5" s="1"/>
  <c r="X192" i="3"/>
  <c r="F191" i="5" s="1"/>
  <c r="X208" i="3"/>
  <c r="X224" i="3"/>
  <c r="X240" i="3"/>
  <c r="F239" i="5" s="1"/>
  <c r="X256" i="3"/>
  <c r="F255" i="5" s="1"/>
  <c r="X272" i="3"/>
  <c r="X288" i="3"/>
  <c r="X304" i="3"/>
  <c r="X320" i="3"/>
  <c r="X336" i="3"/>
  <c r="X352" i="3"/>
  <c r="X368" i="3"/>
  <c r="X384" i="3"/>
  <c r="X400" i="3"/>
  <c r="F399" i="5" s="1"/>
  <c r="X416" i="3"/>
  <c r="F415" i="5" s="1"/>
  <c r="X21" i="3"/>
  <c r="X85" i="3"/>
  <c r="X149" i="3"/>
  <c r="X213" i="3"/>
  <c r="X277" i="3"/>
  <c r="X335" i="3"/>
  <c r="X367" i="3"/>
  <c r="X399" i="3"/>
  <c r="F398" i="5" s="1"/>
  <c r="X9" i="3"/>
  <c r="X73" i="3"/>
  <c r="X137" i="3"/>
  <c r="X201" i="3"/>
  <c r="X265" i="3"/>
  <c r="F264" i="5" s="1"/>
  <c r="X329" i="3"/>
  <c r="X361" i="3"/>
  <c r="X393" i="3"/>
  <c r="F392" i="5" s="1"/>
  <c r="X13" i="3"/>
  <c r="X77" i="3"/>
  <c r="X141" i="3"/>
  <c r="X205" i="3"/>
  <c r="X269" i="3"/>
  <c r="F268" i="5" s="1"/>
  <c r="X331" i="3"/>
  <c r="X363" i="3"/>
  <c r="X395" i="3"/>
  <c r="F394" i="5" s="1"/>
  <c r="X17" i="3"/>
  <c r="X273" i="3"/>
  <c r="F272" i="5" s="1"/>
  <c r="X33" i="3"/>
  <c r="X289" i="3"/>
  <c r="X49" i="3"/>
  <c r="X305" i="3"/>
  <c r="X257" i="3"/>
  <c r="X129" i="3"/>
  <c r="X14" i="3"/>
  <c r="X30" i="3"/>
  <c r="X46" i="3"/>
  <c r="X62" i="3"/>
  <c r="X78" i="3"/>
  <c r="X94" i="3"/>
  <c r="X110" i="3"/>
  <c r="X126" i="3"/>
  <c r="X142" i="3"/>
  <c r="F141" i="5" s="1"/>
  <c r="X158" i="3"/>
  <c r="F157" i="5" s="1"/>
  <c r="X174" i="3"/>
  <c r="X190" i="3"/>
  <c r="X206" i="3"/>
  <c r="F205" i="5" s="1"/>
  <c r="X222" i="3"/>
  <c r="X238" i="3"/>
  <c r="X254" i="3"/>
  <c r="X270" i="3"/>
  <c r="F269" i="5" s="1"/>
  <c r="X286" i="3"/>
  <c r="F285" i="5" s="1"/>
  <c r="X302" i="3"/>
  <c r="X318" i="3"/>
  <c r="X334" i="3"/>
  <c r="X350" i="3"/>
  <c r="X366" i="3"/>
  <c r="X382" i="3"/>
  <c r="X398" i="3"/>
  <c r="F397" i="5" s="1"/>
  <c r="X414" i="3"/>
  <c r="F413" i="5" s="1"/>
  <c r="X11" i="3"/>
  <c r="X27" i="3"/>
  <c r="X43" i="3"/>
  <c r="X59" i="3"/>
  <c r="X75" i="3"/>
  <c r="X91" i="3"/>
  <c r="X107" i="3"/>
  <c r="X123" i="3"/>
  <c r="X139" i="3"/>
  <c r="X155" i="3"/>
  <c r="X171" i="3"/>
  <c r="F170" i="5" s="1"/>
  <c r="X187" i="3"/>
  <c r="F186" i="5" s="1"/>
  <c r="X203" i="3"/>
  <c r="X219" i="3"/>
  <c r="X235" i="3"/>
  <c r="F234" i="5" s="1"/>
  <c r="X251" i="3"/>
  <c r="X267" i="3"/>
  <c r="X283" i="3"/>
  <c r="X299" i="3"/>
  <c r="X315" i="3"/>
  <c r="F314" i="5" s="1"/>
  <c r="X4" i="3"/>
  <c r="X20" i="3"/>
  <c r="X36" i="3"/>
  <c r="X52" i="3"/>
  <c r="X68" i="3"/>
  <c r="X84" i="3"/>
  <c r="X100" i="3"/>
  <c r="X116" i="3"/>
  <c r="X132" i="3"/>
  <c r="X148" i="3"/>
  <c r="X164" i="3"/>
  <c r="F163" i="5" s="1"/>
  <c r="X180" i="3"/>
  <c r="X196" i="3"/>
  <c r="X212" i="3"/>
  <c r="X228" i="3"/>
  <c r="X244" i="3"/>
  <c r="F243" i="5" s="1"/>
  <c r="X260" i="3"/>
  <c r="X276" i="3"/>
  <c r="X292" i="3"/>
  <c r="X308" i="3"/>
  <c r="X324" i="3"/>
  <c r="X340" i="3"/>
  <c r="X356" i="3"/>
  <c r="F308" i="5" s="1"/>
  <c r="X372" i="3"/>
  <c r="X388" i="3"/>
  <c r="X404" i="3"/>
  <c r="F403" i="5" s="1"/>
  <c r="X420" i="3"/>
  <c r="F419" i="5" s="1"/>
  <c r="X37" i="3"/>
  <c r="X101" i="3"/>
  <c r="F100" i="5" s="1"/>
  <c r="X165" i="3"/>
  <c r="X229" i="3"/>
  <c r="X293" i="3"/>
  <c r="X343" i="3"/>
  <c r="X375" i="3"/>
  <c r="X407" i="3"/>
  <c r="F406" i="5" s="1"/>
  <c r="X25" i="3"/>
  <c r="X89" i="3"/>
  <c r="X153" i="3"/>
  <c r="X217" i="3"/>
  <c r="X281" i="3"/>
  <c r="F280" i="5" s="1"/>
  <c r="X337" i="3"/>
  <c r="F336" i="5" s="1"/>
  <c r="X369" i="3"/>
  <c r="X401" i="3"/>
  <c r="F400" i="5" s="1"/>
  <c r="X29" i="3"/>
  <c r="X93" i="3"/>
  <c r="X157" i="3"/>
  <c r="X221" i="3"/>
  <c r="F220" i="5" s="1"/>
  <c r="X285" i="3"/>
  <c r="X339" i="3"/>
  <c r="X371" i="3"/>
  <c r="X403" i="3"/>
  <c r="X81" i="3"/>
  <c r="X333" i="3"/>
  <c r="X97" i="3"/>
  <c r="X341" i="3"/>
  <c r="X113" i="3"/>
  <c r="X349" i="3"/>
  <c r="X421" i="3"/>
  <c r="F420" i="5" s="1"/>
  <c r="X357" i="3"/>
  <c r="F309" i="5" s="1"/>
  <c r="X18" i="3"/>
  <c r="X34" i="3"/>
  <c r="X50" i="3"/>
  <c r="X66" i="3"/>
  <c r="X82" i="3"/>
  <c r="X98" i="3"/>
  <c r="X114" i="3"/>
  <c r="X130" i="3"/>
  <c r="F129" i="5" s="1"/>
  <c r="X146" i="3"/>
  <c r="F145" i="5" s="1"/>
  <c r="X162" i="3"/>
  <c r="X178" i="3"/>
  <c r="F177" i="5" s="1"/>
  <c r="X194" i="3"/>
  <c r="X210" i="3"/>
  <c r="X226" i="3"/>
  <c r="X242" i="3"/>
  <c r="X258" i="3"/>
  <c r="X274" i="3"/>
  <c r="F273" i="5" s="1"/>
  <c r="X290" i="3"/>
  <c r="X306" i="3"/>
  <c r="X322" i="3"/>
  <c r="X338" i="3"/>
  <c r="F337" i="5" s="1"/>
  <c r="X354" i="3"/>
  <c r="X370" i="3"/>
  <c r="X386" i="3"/>
  <c r="F338" i="5" s="1"/>
  <c r="X402" i="3"/>
  <c r="F401" i="5" s="1"/>
  <c r="X418" i="3"/>
  <c r="F417" i="5" s="1"/>
  <c r="X15" i="3"/>
  <c r="X31" i="3"/>
  <c r="X47" i="3"/>
  <c r="X63" i="3"/>
  <c r="X79" i="3"/>
  <c r="X95" i="3"/>
  <c r="X111" i="3"/>
  <c r="X127" i="3"/>
  <c r="X143" i="3"/>
  <c r="X159" i="3"/>
  <c r="F158" i="5" s="1"/>
  <c r="X175" i="3"/>
  <c r="F174" i="5" s="1"/>
  <c r="X191" i="3"/>
  <c r="X207" i="3"/>
  <c r="X223" i="3"/>
  <c r="X239" i="3"/>
  <c r="F238" i="5" s="1"/>
  <c r="X255" i="3"/>
  <c r="X271" i="3"/>
  <c r="X287" i="3"/>
  <c r="F286" i="5" s="1"/>
  <c r="X303" i="3"/>
  <c r="F302" i="5" s="1"/>
  <c r="X319" i="3"/>
  <c r="X8" i="3"/>
  <c r="X24" i="3"/>
  <c r="X40" i="3"/>
  <c r="X56" i="3"/>
  <c r="X72" i="3"/>
  <c r="X88" i="3"/>
  <c r="X104" i="3"/>
  <c r="X120" i="3"/>
  <c r="X136" i="3"/>
  <c r="X152" i="3"/>
  <c r="F151" i="5" s="1"/>
  <c r="X168" i="3"/>
  <c r="F167" i="5" s="1"/>
  <c r="X184" i="3"/>
  <c r="X200" i="3"/>
  <c r="X216" i="3"/>
  <c r="X232" i="3"/>
  <c r="X248" i="3"/>
  <c r="X264" i="3"/>
  <c r="X280" i="3"/>
  <c r="F279" i="5" s="1"/>
  <c r="X296" i="3"/>
  <c r="X312" i="3"/>
  <c r="X328" i="3"/>
  <c r="X344" i="3"/>
  <c r="F296" i="5" s="1"/>
  <c r="X360" i="3"/>
  <c r="X376" i="3"/>
  <c r="X392" i="3"/>
  <c r="X408" i="3"/>
  <c r="F407" i="5" s="1"/>
  <c r="X424" i="3"/>
  <c r="F423" i="5" s="1"/>
  <c r="X53" i="3"/>
  <c r="X117" i="3"/>
  <c r="X181" i="3"/>
  <c r="F180" i="5" s="1"/>
  <c r="X245" i="3"/>
  <c r="X309" i="3"/>
  <c r="X351" i="3"/>
  <c r="X383" i="3"/>
  <c r="F335" i="5" s="1"/>
  <c r="X415" i="3"/>
  <c r="F414" i="5" s="1"/>
  <c r="X41" i="3"/>
  <c r="X105" i="3"/>
  <c r="X169" i="3"/>
  <c r="F168" i="5" s="1"/>
  <c r="X233" i="3"/>
  <c r="X297" i="3"/>
  <c r="X345" i="3"/>
  <c r="X377" i="3"/>
  <c r="F376" i="5" s="1"/>
  <c r="X409" i="3"/>
  <c r="F408" i="5" s="1"/>
  <c r="X45" i="3"/>
  <c r="X109" i="3"/>
  <c r="X173" i="3"/>
  <c r="X237" i="3"/>
  <c r="X301" i="3"/>
  <c r="X347" i="3"/>
  <c r="X379" i="3"/>
  <c r="F331" i="5" s="1"/>
  <c r="X411" i="3"/>
  <c r="F410" i="5" s="1"/>
  <c r="X145" i="3"/>
  <c r="X365" i="3"/>
  <c r="X161" i="3"/>
  <c r="F160" i="5" s="1"/>
  <c r="X373" i="3"/>
  <c r="X177" i="3"/>
  <c r="X381" i="3"/>
  <c r="X65" i="3"/>
  <c r="X389" i="3"/>
  <c r="AA276" i="3"/>
  <c r="AA216" i="3"/>
  <c r="AA383" i="3"/>
  <c r="AA399" i="3"/>
  <c r="I398" i="5" s="1"/>
  <c r="AA314" i="3"/>
  <c r="AA136" i="3"/>
  <c r="AA394" i="3"/>
  <c r="I393" i="5" s="1"/>
  <c r="AA308" i="3"/>
  <c r="AA120" i="3"/>
  <c r="I119" i="5" s="1"/>
  <c r="AA367" i="3"/>
  <c r="AA282" i="3"/>
  <c r="I281" i="5" s="1"/>
  <c r="AA40" i="3"/>
  <c r="I39" i="5" s="1"/>
  <c r="AA408" i="3"/>
  <c r="I407" i="5" s="1"/>
  <c r="AA387" i="3"/>
  <c r="AA366" i="3"/>
  <c r="I318" i="5" s="1"/>
  <c r="AA344" i="3"/>
  <c r="I343" i="5" s="1"/>
  <c r="AA323" i="3"/>
  <c r="AA302" i="3"/>
  <c r="AA280" i="3"/>
  <c r="AA228" i="3"/>
  <c r="AA164" i="3"/>
  <c r="AA100" i="3"/>
  <c r="AA36" i="3"/>
  <c r="I35" i="5" s="1"/>
  <c r="AA418" i="3"/>
  <c r="I417" i="5" s="1"/>
  <c r="AA396" i="3"/>
  <c r="AA375" i="3"/>
  <c r="AA354" i="3"/>
  <c r="I306" i="5" s="1"/>
  <c r="AA332" i="3"/>
  <c r="AA311" i="3"/>
  <c r="AA290" i="3"/>
  <c r="AA256" i="3"/>
  <c r="I255" i="5" s="1"/>
  <c r="AA192" i="3"/>
  <c r="AA128" i="3"/>
  <c r="AA64" i="3"/>
  <c r="AA422" i="3"/>
  <c r="AA400" i="3"/>
  <c r="I399" i="5" s="1"/>
  <c r="AA379" i="3"/>
  <c r="AA358" i="3"/>
  <c r="AA336" i="3"/>
  <c r="AA315" i="3"/>
  <c r="AA294" i="3"/>
  <c r="I380" i="5" s="1"/>
  <c r="AA268" i="3"/>
  <c r="AA204" i="3"/>
  <c r="I203" i="5" s="1"/>
  <c r="AA140" i="3"/>
  <c r="AA76" i="3"/>
  <c r="AA12" i="3"/>
  <c r="AA259" i="3"/>
  <c r="I258" i="5" s="1"/>
  <c r="AA243" i="3"/>
  <c r="AA227" i="3"/>
  <c r="AA211" i="3"/>
  <c r="AA195" i="3"/>
  <c r="I194" i="5" s="1"/>
  <c r="AA179" i="3"/>
  <c r="AA163" i="3"/>
  <c r="AA147" i="3"/>
  <c r="AA131" i="3"/>
  <c r="I130" i="5" s="1"/>
  <c r="AA115" i="3"/>
  <c r="AA99" i="3"/>
  <c r="AA83" i="3"/>
  <c r="AA67" i="3"/>
  <c r="AA51" i="3"/>
  <c r="AA35" i="3"/>
  <c r="AA19" i="3"/>
  <c r="AA274" i="3"/>
  <c r="I273" i="5" s="1"/>
  <c r="AA258" i="3"/>
  <c r="AA242" i="3"/>
  <c r="I241" i="5" s="1"/>
  <c r="AA226" i="3"/>
  <c r="AA210" i="3"/>
  <c r="I209" i="5" s="1"/>
  <c r="AA194" i="3"/>
  <c r="AA178" i="3"/>
  <c r="I177" i="5" s="1"/>
  <c r="AA162" i="3"/>
  <c r="AA146" i="3"/>
  <c r="I145" i="5" s="1"/>
  <c r="AA130" i="3"/>
  <c r="I129" i="5" s="1"/>
  <c r="AA98" i="3"/>
  <c r="AA66" i="3"/>
  <c r="AA34" i="3"/>
  <c r="I33" i="5" s="1"/>
  <c r="AA421" i="3"/>
  <c r="I420" i="5" s="1"/>
  <c r="AA389" i="3"/>
  <c r="AA357" i="3"/>
  <c r="Z3" i="3"/>
  <c r="H204" i="5"/>
  <c r="H332" i="5"/>
  <c r="H309" i="5"/>
  <c r="H373" i="5"/>
  <c r="H350" i="5"/>
  <c r="H331" i="5"/>
  <c r="H347" i="5"/>
  <c r="H345" i="5"/>
  <c r="H322" i="5"/>
  <c r="H143" i="5"/>
  <c r="H207" i="5"/>
  <c r="H271" i="5"/>
  <c r="H335" i="5"/>
  <c r="H196" i="5"/>
  <c r="H308" i="5"/>
  <c r="H372" i="5"/>
  <c r="H317" i="5"/>
  <c r="H358" i="5"/>
  <c r="H163" i="5"/>
  <c r="H307" i="5"/>
  <c r="H371" i="5"/>
  <c r="H387" i="5"/>
  <c r="H344" i="5"/>
  <c r="H346" i="5"/>
  <c r="G166" i="5"/>
  <c r="G358" i="5"/>
  <c r="G374" i="5"/>
  <c r="G390" i="5"/>
  <c r="G187" i="5"/>
  <c r="G251" i="5"/>
  <c r="G283" i="5"/>
  <c r="G347" i="5"/>
  <c r="G320" i="5"/>
  <c r="G384" i="5"/>
  <c r="G121" i="5"/>
  <c r="G201" i="5"/>
  <c r="G249" i="5"/>
  <c r="G361" i="5"/>
  <c r="G154" i="5"/>
  <c r="G218" i="5"/>
  <c r="G282" i="5"/>
  <c r="G362" i="5"/>
  <c r="G378" i="5"/>
  <c r="G63" i="5"/>
  <c r="G319" i="5"/>
  <c r="G383" i="5"/>
  <c r="G116" i="5"/>
  <c r="G212" i="5"/>
  <c r="G292" i="5"/>
  <c r="G308" i="5"/>
  <c r="G356" i="5"/>
  <c r="G372" i="5"/>
  <c r="G125" i="5"/>
  <c r="G163" i="5"/>
  <c r="G291" i="5"/>
  <c r="G146" i="5"/>
  <c r="G306" i="5"/>
  <c r="G354" i="5"/>
  <c r="G119" i="5"/>
  <c r="G135" i="5"/>
  <c r="G215" i="5"/>
  <c r="G279" i="5"/>
  <c r="G321" i="5"/>
  <c r="G161" i="5"/>
  <c r="G360" i="5"/>
  <c r="G296" i="5"/>
  <c r="G371" i="5"/>
  <c r="F342" i="5"/>
  <c r="F379" i="5"/>
  <c r="F209" i="5"/>
  <c r="F282" i="5"/>
  <c r="F324" i="5"/>
  <c r="F366" i="5"/>
  <c r="F179" i="5"/>
  <c r="F339" i="5"/>
  <c r="F377" i="5"/>
  <c r="F199" i="5"/>
  <c r="F391" i="5"/>
  <c r="F300" i="5"/>
  <c r="F364" i="5"/>
  <c r="G389" i="5"/>
  <c r="G348" i="5"/>
  <c r="G124" i="5"/>
  <c r="G359" i="5"/>
  <c r="G295" i="5"/>
  <c r="E172" i="5"/>
  <c r="E145" i="5"/>
  <c r="E193" i="5"/>
  <c r="E134" i="5"/>
  <c r="E166" i="5"/>
  <c r="E203" i="5"/>
  <c r="E282" i="5"/>
  <c r="E298" i="5"/>
  <c r="E314" i="5"/>
  <c r="E330" i="5"/>
  <c r="E378" i="5"/>
  <c r="E219" i="5"/>
  <c r="E283" i="5"/>
  <c r="E299" i="5"/>
  <c r="E315" i="5"/>
  <c r="E331" i="5"/>
  <c r="E347" i="5"/>
  <c r="E236" i="5"/>
  <c r="E316" i="5"/>
  <c r="E380" i="5"/>
  <c r="E209" i="5"/>
  <c r="E225" i="5"/>
  <c r="E241" i="5"/>
  <c r="E305" i="5"/>
  <c r="E353" i="5"/>
  <c r="E369" i="5"/>
  <c r="E385" i="5"/>
  <c r="E160" i="5"/>
  <c r="E165" i="5"/>
  <c r="E197" i="5"/>
  <c r="E138" i="5"/>
  <c r="E143" i="5"/>
  <c r="E159" i="5"/>
  <c r="E222" i="5"/>
  <c r="E318" i="5"/>
  <c r="E334" i="5"/>
  <c r="E350" i="5"/>
  <c r="E366" i="5"/>
  <c r="E382" i="5"/>
  <c r="E207" i="5"/>
  <c r="E335" i="5"/>
  <c r="E351" i="5"/>
  <c r="E383" i="5"/>
  <c r="E224" i="5"/>
  <c r="E288" i="5"/>
  <c r="E320" i="5"/>
  <c r="E368" i="5"/>
  <c r="E384" i="5"/>
  <c r="E213" i="5"/>
  <c r="E245" i="5"/>
  <c r="E325" i="5"/>
  <c r="E341" i="5"/>
  <c r="E389" i="5"/>
  <c r="E132" i="5"/>
  <c r="E196" i="5"/>
  <c r="E121" i="5"/>
  <c r="E137" i="5"/>
  <c r="E126" i="5"/>
  <c r="E190" i="5"/>
  <c r="E131" i="5"/>
  <c r="E163" i="5"/>
  <c r="E242" i="5"/>
  <c r="E290" i="5"/>
  <c r="E322" i="5"/>
  <c r="E354" i="5"/>
  <c r="E370" i="5"/>
  <c r="E211" i="5"/>
  <c r="E227" i="5"/>
  <c r="E259" i="5"/>
  <c r="E355" i="5"/>
  <c r="E387" i="5"/>
  <c r="E260" i="5"/>
  <c r="E324" i="5"/>
  <c r="E297" i="5"/>
  <c r="E313" i="5"/>
  <c r="E361" i="5"/>
  <c r="E168" i="5"/>
  <c r="E141" i="5"/>
  <c r="E189" i="5"/>
  <c r="E162" i="5"/>
  <c r="E119" i="5"/>
  <c r="E135" i="5"/>
  <c r="E167" i="5"/>
  <c r="E183" i="5"/>
  <c r="E310" i="5"/>
  <c r="E231" i="5"/>
  <c r="E247" i="5"/>
  <c r="E279" i="5"/>
  <c r="E232" i="5"/>
  <c r="E296" i="5"/>
  <c r="E301" i="5"/>
  <c r="E317" i="5"/>
  <c r="E365" i="5"/>
  <c r="I113" i="5"/>
  <c r="I321" i="5"/>
  <c r="I337" i="5"/>
  <c r="I369" i="5"/>
  <c r="I385" i="5"/>
  <c r="I170" i="5"/>
  <c r="I234" i="5"/>
  <c r="I330" i="5"/>
  <c r="I378" i="5"/>
  <c r="I111" i="5"/>
  <c r="I159" i="5"/>
  <c r="I287" i="5"/>
  <c r="I303" i="5"/>
  <c r="I148" i="5"/>
  <c r="I212" i="5"/>
  <c r="I276" i="5"/>
  <c r="I292" i="5"/>
  <c r="I308" i="5"/>
  <c r="I245" i="5"/>
  <c r="I357" i="5"/>
  <c r="I94" i="5"/>
  <c r="I158" i="5"/>
  <c r="I174" i="5"/>
  <c r="I222" i="5"/>
  <c r="I366" i="5"/>
  <c r="I115" i="5"/>
  <c r="I147" i="5"/>
  <c r="I163" i="5"/>
  <c r="I195" i="5"/>
  <c r="I291" i="5"/>
  <c r="I307" i="5"/>
  <c r="I339" i="5"/>
  <c r="I355" i="5"/>
  <c r="I371" i="5"/>
  <c r="I387" i="5"/>
  <c r="I8" i="5"/>
  <c r="I72" i="5"/>
  <c r="I136" i="5"/>
  <c r="I200" i="5"/>
  <c r="I264" i="5"/>
  <c r="I185" i="5"/>
  <c r="I249" i="5"/>
  <c r="I345" i="5"/>
  <c r="I199" i="5"/>
  <c r="I247" i="5"/>
  <c r="I295" i="5"/>
  <c r="I359" i="5"/>
  <c r="I28" i="5"/>
  <c r="I108" i="5"/>
  <c r="I172" i="5"/>
  <c r="I236" i="5"/>
  <c r="I268" i="5"/>
  <c r="I332" i="5"/>
  <c r="I364" i="5"/>
  <c r="I77" i="5"/>
  <c r="I173" i="5"/>
  <c r="I237" i="5"/>
  <c r="I301" i="5"/>
  <c r="I317" i="5"/>
  <c r="I86" i="5"/>
  <c r="I150" i="5"/>
  <c r="I214" i="5"/>
  <c r="I326" i="5"/>
  <c r="I390" i="5"/>
  <c r="I59" i="5"/>
  <c r="I107" i="5"/>
  <c r="I171" i="5"/>
  <c r="I347" i="5"/>
  <c r="I160" i="5"/>
  <c r="I224" i="5"/>
  <c r="I288" i="5"/>
  <c r="I336" i="5"/>
  <c r="I384" i="5"/>
  <c r="G337" i="5"/>
  <c r="G209" i="5"/>
  <c r="G376" i="5"/>
  <c r="G312" i="5"/>
  <c r="G248" i="5"/>
  <c r="G216" i="5"/>
  <c r="G56" i="5"/>
  <c r="G355" i="5"/>
  <c r="J6" i="5"/>
  <c r="J86" i="5"/>
  <c r="J134" i="5"/>
  <c r="J198" i="5"/>
  <c r="J115" i="5"/>
  <c r="J5" i="5"/>
  <c r="J69" i="5"/>
  <c r="J133" i="5"/>
  <c r="J165" i="5"/>
  <c r="J197" i="5"/>
  <c r="J260" i="5"/>
  <c r="J57" i="5"/>
  <c r="J121" i="5"/>
  <c r="J4" i="5"/>
  <c r="J68" i="5"/>
  <c r="J132" i="5"/>
  <c r="J196" i="5"/>
  <c r="J334" i="5"/>
  <c r="J382" i="5"/>
  <c r="J315" i="5"/>
  <c r="J312" i="5"/>
  <c r="J296" i="5"/>
  <c r="J313" i="5"/>
  <c r="J329" i="5"/>
  <c r="J345" i="5"/>
  <c r="J377" i="5"/>
  <c r="J42" i="5"/>
  <c r="J90" i="5"/>
  <c r="J234" i="5"/>
  <c r="J250" i="5"/>
  <c r="J23" i="5"/>
  <c r="J103" i="5"/>
  <c r="J151" i="5"/>
  <c r="J40" i="5"/>
  <c r="J104" i="5"/>
  <c r="J168" i="5"/>
  <c r="J232" i="5"/>
  <c r="J161" i="5"/>
  <c r="J193" i="5"/>
  <c r="J225" i="5"/>
  <c r="J257" i="5"/>
  <c r="J263" i="5"/>
  <c r="J306" i="5"/>
  <c r="J370" i="5"/>
  <c r="J303" i="5"/>
  <c r="J319" i="5"/>
  <c r="J279" i="5"/>
  <c r="J300" i="5"/>
  <c r="J348" i="5"/>
  <c r="J280" i="5"/>
  <c r="J317" i="5"/>
  <c r="J333" i="5"/>
  <c r="J349" i="5"/>
  <c r="J381" i="5"/>
  <c r="J62" i="5"/>
  <c r="J110" i="5"/>
  <c r="J206" i="5"/>
  <c r="J222" i="5"/>
  <c r="J238" i="5"/>
  <c r="J254" i="5"/>
  <c r="J27" i="5"/>
  <c r="J123" i="5"/>
  <c r="J187" i="5"/>
  <c r="J251" i="5"/>
  <c r="J181" i="5"/>
  <c r="J245" i="5"/>
  <c r="J16" i="5"/>
  <c r="J80" i="5"/>
  <c r="J144" i="5"/>
  <c r="J208" i="5"/>
  <c r="J169" i="5"/>
  <c r="J262" i="5"/>
  <c r="J294" i="5"/>
  <c r="J267" i="5"/>
  <c r="J310" i="5"/>
  <c r="J358" i="5"/>
  <c r="J339" i="5"/>
  <c r="J355" i="5"/>
  <c r="J284" i="5"/>
  <c r="J336" i="5"/>
  <c r="J352" i="5"/>
  <c r="J321" i="5"/>
  <c r="J369" i="5"/>
  <c r="J385" i="5"/>
  <c r="J18" i="5"/>
  <c r="J66" i="5"/>
  <c r="J146" i="5"/>
  <c r="J178" i="5"/>
  <c r="J194" i="5"/>
  <c r="J210" i="5"/>
  <c r="J226" i="5"/>
  <c r="J258" i="5"/>
  <c r="J47" i="5"/>
  <c r="J127" i="5"/>
  <c r="J175" i="5"/>
  <c r="J29" i="5"/>
  <c r="J93" i="5"/>
  <c r="J272" i="5"/>
  <c r="J17" i="5"/>
  <c r="J81" i="5"/>
  <c r="J145" i="5"/>
  <c r="J266" i="5"/>
  <c r="J282" i="5"/>
  <c r="J28" i="5"/>
  <c r="J92" i="5"/>
  <c r="J156" i="5"/>
  <c r="J220" i="5"/>
  <c r="J346" i="5"/>
  <c r="J378" i="5"/>
  <c r="J327" i="5"/>
  <c r="J324" i="5"/>
  <c r="J340" i="5"/>
  <c r="J291" i="5"/>
  <c r="J325" i="5"/>
  <c r="J373" i="5"/>
  <c r="J389" i="5"/>
  <c r="G381" i="5"/>
  <c r="G357" i="5"/>
  <c r="G293" i="5"/>
  <c r="G229" i="5"/>
  <c r="G197" i="5"/>
  <c r="G101" i="5"/>
  <c r="G364" i="5"/>
  <c r="G300" i="5"/>
  <c r="G375" i="5"/>
  <c r="G311" i="5"/>
  <c r="D3" i="5"/>
  <c r="D35" i="5"/>
  <c r="D6" i="5"/>
  <c r="D54" i="5"/>
  <c r="D7" i="5"/>
  <c r="D23" i="5"/>
  <c r="D39" i="5"/>
  <c r="D10" i="5"/>
  <c r="D26" i="5"/>
  <c r="D42" i="5"/>
  <c r="D58" i="5"/>
  <c r="D68" i="5"/>
  <c r="D84" i="5"/>
  <c r="D100" i="5"/>
  <c r="D57" i="5"/>
  <c r="D75" i="5"/>
  <c r="D91" i="5"/>
  <c r="D107" i="5"/>
  <c r="D112" i="5"/>
  <c r="D4" i="5"/>
  <c r="D62" i="5"/>
  <c r="D69" i="5"/>
  <c r="D27" i="5"/>
  <c r="D30" i="5"/>
  <c r="D55" i="5"/>
  <c r="D88" i="5"/>
  <c r="D63" i="5"/>
  <c r="D95" i="5"/>
  <c r="D111" i="5"/>
  <c r="G113" i="5"/>
  <c r="D20" i="5"/>
  <c r="D78" i="5"/>
  <c r="D85" i="5"/>
  <c r="D114" i="5"/>
  <c r="D11" i="5"/>
  <c r="D43" i="5"/>
  <c r="D14" i="5"/>
  <c r="D46" i="5"/>
  <c r="D72" i="5"/>
  <c r="D104" i="5"/>
  <c r="D79" i="5"/>
  <c r="D15" i="5"/>
  <c r="D31" i="5"/>
  <c r="D47" i="5"/>
  <c r="D18" i="5"/>
  <c r="D34" i="5"/>
  <c r="D50" i="5"/>
  <c r="D60" i="5"/>
  <c r="D76" i="5"/>
  <c r="D92" i="5"/>
  <c r="D108" i="5"/>
  <c r="D67" i="5"/>
  <c r="D83" i="5"/>
  <c r="D99" i="5"/>
  <c r="G79" i="5"/>
  <c r="D17" i="5"/>
  <c r="D36" i="5"/>
  <c r="D94" i="5"/>
  <c r="D101" i="5"/>
  <c r="D19" i="5"/>
  <c r="D22" i="5"/>
  <c r="D38" i="5"/>
  <c r="D64" i="5"/>
  <c r="D80" i="5"/>
  <c r="D96" i="5"/>
  <c r="D49" i="5"/>
  <c r="D71" i="5"/>
  <c r="D87" i="5"/>
  <c r="D103" i="5"/>
  <c r="G11" i="5"/>
  <c r="D33" i="5"/>
  <c r="D52" i="5"/>
  <c r="D110" i="5"/>
  <c r="D5" i="5"/>
  <c r="D24" i="5"/>
  <c r="D82" i="5"/>
  <c r="D89" i="5"/>
  <c r="G82" i="5"/>
  <c r="D59" i="5"/>
  <c r="D28" i="5"/>
  <c r="D93" i="5"/>
  <c r="D12" i="5"/>
  <c r="D29" i="5"/>
  <c r="D106" i="5"/>
  <c r="D109" i="5"/>
  <c r="K99" i="5"/>
  <c r="K22" i="5"/>
  <c r="K80" i="5"/>
  <c r="K73" i="5"/>
  <c r="K15" i="5"/>
  <c r="K19" i="5"/>
  <c r="K35" i="5"/>
  <c r="I23" i="5"/>
  <c r="K87" i="5"/>
  <c r="K10" i="5"/>
  <c r="K76" i="5"/>
  <c r="K69" i="5"/>
  <c r="K11" i="5"/>
  <c r="K109" i="5"/>
  <c r="K34" i="5"/>
  <c r="K53" i="5"/>
  <c r="K50" i="5"/>
  <c r="K46" i="5"/>
  <c r="K59" i="5"/>
  <c r="K66" i="5"/>
  <c r="K20" i="5"/>
  <c r="K54" i="5"/>
  <c r="K36" i="5"/>
  <c r="I75" i="5"/>
  <c r="D21" i="5"/>
  <c r="D40" i="5"/>
  <c r="D98" i="5"/>
  <c r="D105" i="5"/>
  <c r="D13" i="5"/>
  <c r="D90" i="5"/>
  <c r="D115" i="5"/>
  <c r="D51" i="5"/>
  <c r="D77" i="5"/>
  <c r="D16" i="5"/>
  <c r="D81" i="5"/>
  <c r="D25" i="5"/>
  <c r="K67" i="5"/>
  <c r="I96" i="5"/>
  <c r="K64" i="5"/>
  <c r="K56" i="5"/>
  <c r="K44" i="5"/>
  <c r="K84" i="5"/>
  <c r="K16" i="5"/>
  <c r="K103" i="5"/>
  <c r="K115" i="5"/>
  <c r="K32" i="5"/>
  <c r="I11" i="5"/>
  <c r="I20" i="5"/>
  <c r="I97" i="5"/>
  <c r="K52" i="5"/>
  <c r="I84" i="5"/>
  <c r="K60" i="5"/>
  <c r="K48" i="5"/>
  <c r="K40" i="5"/>
  <c r="K110" i="5"/>
  <c r="K51" i="5"/>
  <c r="K5" i="5"/>
  <c r="K63" i="5"/>
  <c r="K70" i="5"/>
  <c r="K17" i="5"/>
  <c r="K75" i="5"/>
  <c r="K82" i="5"/>
  <c r="I73" i="5"/>
  <c r="K88" i="5"/>
  <c r="I63" i="5"/>
  <c r="K104" i="5"/>
  <c r="K6" i="5"/>
  <c r="K72" i="5"/>
  <c r="D37" i="5"/>
  <c r="D56" i="5"/>
  <c r="D53" i="5"/>
  <c r="D45" i="5"/>
  <c r="D65" i="5"/>
  <c r="D9" i="5"/>
  <c r="D86" i="5"/>
  <c r="D48" i="5"/>
  <c r="D113" i="5"/>
  <c r="D44" i="5"/>
  <c r="K106" i="5"/>
  <c r="K41" i="5"/>
  <c r="I44" i="5"/>
  <c r="K112" i="5"/>
  <c r="K105" i="5"/>
  <c r="K47" i="5"/>
  <c r="K28" i="5"/>
  <c r="K78" i="5"/>
  <c r="K93" i="5"/>
  <c r="K13" i="5"/>
  <c r="K68" i="5"/>
  <c r="I27" i="5"/>
  <c r="I55" i="5"/>
  <c r="K94" i="5"/>
  <c r="K29" i="5"/>
  <c r="I109" i="5"/>
  <c r="I32" i="5"/>
  <c r="K108" i="5"/>
  <c r="K101" i="5"/>
  <c r="K43" i="5"/>
  <c r="K24" i="5"/>
  <c r="K71" i="5"/>
  <c r="K3" i="5"/>
  <c r="F34" i="5"/>
  <c r="K21" i="5"/>
  <c r="K79" i="5"/>
  <c r="K86" i="5"/>
  <c r="K111" i="5"/>
  <c r="K14" i="5"/>
  <c r="K33" i="5"/>
  <c r="K91" i="5"/>
  <c r="K98" i="5"/>
  <c r="K90" i="5"/>
  <c r="K81" i="5"/>
  <c r="K97" i="5"/>
  <c r="I57" i="5"/>
  <c r="K83" i="5"/>
  <c r="K55" i="5"/>
  <c r="G100" i="5"/>
  <c r="K38" i="5"/>
  <c r="D8" i="5"/>
  <c r="D66" i="5"/>
  <c r="D73" i="5"/>
  <c r="D32" i="5"/>
  <c r="D97" i="5"/>
  <c r="D70" i="5"/>
  <c r="G13" i="5"/>
  <c r="D41" i="5"/>
  <c r="D61" i="5"/>
  <c r="D74" i="5"/>
  <c r="D102" i="5"/>
  <c r="K74" i="5"/>
  <c r="K9" i="5"/>
  <c r="K96" i="5"/>
  <c r="K89" i="5"/>
  <c r="K31" i="5"/>
  <c r="K12" i="5"/>
  <c r="K45" i="5"/>
  <c r="K61" i="5"/>
  <c r="K77" i="5"/>
  <c r="I101" i="5"/>
  <c r="K62" i="5"/>
  <c r="K42" i="5"/>
  <c r="K113" i="5"/>
  <c r="K92" i="5"/>
  <c r="K85" i="5"/>
  <c r="K27" i="5"/>
  <c r="K8" i="5"/>
  <c r="K26" i="5"/>
  <c r="K100" i="5"/>
  <c r="K18" i="5"/>
  <c r="K37" i="5"/>
  <c r="K95" i="5"/>
  <c r="K102" i="5"/>
  <c r="K30" i="5"/>
  <c r="K49" i="5"/>
  <c r="K107" i="5"/>
  <c r="K114" i="5"/>
  <c r="K4" i="5"/>
  <c r="K25" i="5"/>
  <c r="K23" i="5"/>
  <c r="K57" i="5"/>
  <c r="K39" i="5"/>
  <c r="I9" i="5"/>
  <c r="K58" i="5"/>
  <c r="K65" i="5"/>
  <c r="I98" i="5"/>
  <c r="K7" i="5"/>
  <c r="Y3" i="3"/>
  <c r="D2" i="5"/>
  <c r="K2" i="5"/>
  <c r="X3" i="3"/>
  <c r="E17" i="5"/>
  <c r="W3" i="3"/>
  <c r="AD14" i="3" l="1"/>
  <c r="F320" i="5"/>
  <c r="AD70" i="3"/>
  <c r="H327" i="5"/>
  <c r="H374" i="5"/>
  <c r="H329" i="5"/>
  <c r="H292" i="5"/>
  <c r="G340" i="5"/>
  <c r="G339" i="5"/>
  <c r="G304" i="5"/>
  <c r="G303" i="5"/>
  <c r="G332" i="5"/>
  <c r="G379" i="5"/>
  <c r="G331" i="5"/>
  <c r="G338" i="5"/>
  <c r="G344" i="5"/>
  <c r="G343" i="5"/>
  <c r="I316" i="5"/>
  <c r="I363" i="5"/>
  <c r="I377" i="5"/>
  <c r="J320" i="5"/>
  <c r="J332" i="5"/>
  <c r="J290" i="5"/>
  <c r="J302" i="5"/>
  <c r="H315" i="5"/>
  <c r="AD285" i="3"/>
  <c r="F390" i="5"/>
  <c r="F307" i="5"/>
  <c r="F326" i="5"/>
  <c r="H328" i="5"/>
  <c r="J367" i="5"/>
  <c r="G391" i="5"/>
  <c r="J386" i="5"/>
  <c r="J308" i="5"/>
  <c r="E311" i="5"/>
  <c r="E343" i="5"/>
  <c r="E323" i="5"/>
  <c r="I324" i="5"/>
  <c r="L394" i="5"/>
  <c r="L409" i="5"/>
  <c r="L417" i="5"/>
  <c r="L397" i="5"/>
  <c r="L407" i="5"/>
  <c r="L420" i="5"/>
  <c r="E309" i="5"/>
  <c r="L399" i="5"/>
  <c r="L423" i="5"/>
  <c r="L393" i="5"/>
  <c r="L416" i="5"/>
  <c r="L398" i="5"/>
  <c r="L418" i="5"/>
  <c r="I374" i="5"/>
  <c r="I421" i="5"/>
  <c r="I348" i="5"/>
  <c r="I395" i="5"/>
  <c r="G307" i="5"/>
  <c r="G336" i="5"/>
  <c r="G335" i="5"/>
  <c r="L421" i="5"/>
  <c r="F355" i="5"/>
  <c r="F402" i="5"/>
  <c r="AD413" i="3"/>
  <c r="F412" i="5"/>
  <c r="F349" i="5"/>
  <c r="F396" i="5"/>
  <c r="L396" i="5" s="1"/>
  <c r="F348" i="5"/>
  <c r="F395" i="5"/>
  <c r="H353" i="5"/>
  <c r="H400" i="5"/>
  <c r="H375" i="5"/>
  <c r="H422" i="5"/>
  <c r="H365" i="5"/>
  <c r="H412" i="5"/>
  <c r="H356" i="5"/>
  <c r="H403" i="5"/>
  <c r="L403" i="5" s="1"/>
  <c r="H355" i="5"/>
  <c r="H402" i="5"/>
  <c r="L402" i="5" s="1"/>
  <c r="H357" i="5"/>
  <c r="H404" i="5"/>
  <c r="I358" i="5"/>
  <c r="I405" i="5"/>
  <c r="L405" i="5" s="1"/>
  <c r="I375" i="5"/>
  <c r="I422" i="5"/>
  <c r="I372" i="5"/>
  <c r="I419" i="5"/>
  <c r="G368" i="5"/>
  <c r="G415" i="5"/>
  <c r="L415" i="5" s="1"/>
  <c r="G367" i="5"/>
  <c r="G414" i="5"/>
  <c r="L414" i="5" s="1"/>
  <c r="J365" i="5"/>
  <c r="J412" i="5"/>
  <c r="L412" i="5" s="1"/>
  <c r="J353" i="5"/>
  <c r="J400" i="5"/>
  <c r="L400" i="5" s="1"/>
  <c r="J363" i="5"/>
  <c r="J410" i="5"/>
  <c r="L410" i="5" s="1"/>
  <c r="J357" i="5"/>
  <c r="J404" i="5"/>
  <c r="J375" i="5"/>
  <c r="J422" i="5"/>
  <c r="J354" i="5"/>
  <c r="J401" i="5"/>
  <c r="L401" i="5" s="1"/>
  <c r="J361" i="5"/>
  <c r="J408" i="5"/>
  <c r="L408" i="5" s="1"/>
  <c r="J384" i="5"/>
  <c r="J366" i="5"/>
  <c r="J413" i="5"/>
  <c r="L413" i="5" s="1"/>
  <c r="J372" i="5"/>
  <c r="J419" i="5"/>
  <c r="L419" i="5" s="1"/>
  <c r="E345" i="5"/>
  <c r="E392" i="5"/>
  <c r="L392" i="5" s="1"/>
  <c r="E359" i="5"/>
  <c r="E406" i="5"/>
  <c r="L406" i="5" s="1"/>
  <c r="E348" i="5"/>
  <c r="E395" i="5"/>
  <c r="E364" i="5"/>
  <c r="E411" i="5"/>
  <c r="L411" i="5" s="1"/>
  <c r="E375" i="5"/>
  <c r="E422" i="5"/>
  <c r="H312" i="5"/>
  <c r="F347" i="5"/>
  <c r="E291" i="5"/>
  <c r="F343" i="5"/>
  <c r="I331" i="5"/>
  <c r="G326" i="5"/>
  <c r="G314" i="5"/>
  <c r="G363" i="5"/>
  <c r="G299" i="5"/>
  <c r="G313" i="5"/>
  <c r="G388" i="5"/>
  <c r="G373" i="5"/>
  <c r="G380" i="5"/>
  <c r="G365" i="5"/>
  <c r="G301" i="5"/>
  <c r="G382" i="5"/>
  <c r="I353" i="5"/>
  <c r="F354" i="5"/>
  <c r="F367" i="5"/>
  <c r="H313" i="5"/>
  <c r="F298" i="5"/>
  <c r="H386" i="5"/>
  <c r="H377" i="5"/>
  <c r="H334" i="5"/>
  <c r="H390" i="5"/>
  <c r="G369" i="5"/>
  <c r="G350" i="5"/>
  <c r="G345" i="5"/>
  <c r="I293" i="5"/>
  <c r="J305" i="5"/>
  <c r="J351" i="5"/>
  <c r="J330" i="5"/>
  <c r="J379" i="5"/>
  <c r="E374" i="5"/>
  <c r="E360" i="5"/>
  <c r="E373" i="5"/>
  <c r="E363" i="5"/>
  <c r="E292" i="5"/>
  <c r="E337" i="5"/>
  <c r="E328" i="5"/>
  <c r="E349" i="5"/>
  <c r="I368" i="5"/>
  <c r="I349" i="5"/>
  <c r="I313" i="5"/>
  <c r="I383" i="5"/>
  <c r="F385" i="5"/>
  <c r="I365" i="5"/>
  <c r="E339" i="5"/>
  <c r="E390" i="5"/>
  <c r="E321" i="5"/>
  <c r="E391" i="5"/>
  <c r="E381" i="5"/>
  <c r="E358" i="5"/>
  <c r="E372" i="5"/>
  <c r="E333" i="5"/>
  <c r="AD265" i="3"/>
  <c r="E264" i="5"/>
  <c r="E377" i="5"/>
  <c r="AD291" i="3"/>
  <c r="H284" i="5"/>
  <c r="AD292" i="3"/>
  <c r="F378" i="5"/>
  <c r="AD262" i="3"/>
  <c r="H261" i="5"/>
  <c r="E312" i="5"/>
  <c r="AD360" i="3"/>
  <c r="AD31" i="3"/>
  <c r="AD356" i="3"/>
  <c r="E308" i="5"/>
  <c r="AD328" i="3"/>
  <c r="I279" i="5"/>
  <c r="I335" i="5"/>
  <c r="I346" i="5"/>
  <c r="I193" i="5"/>
  <c r="F284" i="5"/>
  <c r="F172" i="5"/>
  <c r="F359" i="5"/>
  <c r="F231" i="5"/>
  <c r="F281" i="5"/>
  <c r="F153" i="5"/>
  <c r="F360" i="5"/>
  <c r="F216" i="5"/>
  <c r="F227" i="5"/>
  <c r="F350" i="5"/>
  <c r="F222" i="5"/>
  <c r="F389" i="5"/>
  <c r="F276" i="5"/>
  <c r="F362" i="5"/>
  <c r="F250" i="5"/>
  <c r="F122" i="5"/>
  <c r="F193" i="5"/>
  <c r="F365" i="5"/>
  <c r="F221" i="5"/>
  <c r="AD206" i="3"/>
  <c r="AD331" i="3"/>
  <c r="AD198" i="3"/>
  <c r="I370" i="5"/>
  <c r="I373" i="5"/>
  <c r="I191" i="5"/>
  <c r="L191" i="5" s="1"/>
  <c r="I257" i="5"/>
  <c r="F215" i="5"/>
  <c r="F329" i="5"/>
  <c r="F293" i="5"/>
  <c r="F372" i="5"/>
  <c r="F228" i="5"/>
  <c r="F353" i="5"/>
  <c r="F257" i="5"/>
  <c r="AD287" i="3"/>
  <c r="AD142" i="3"/>
  <c r="I341" i="5"/>
  <c r="I127" i="5"/>
  <c r="L127" i="5" s="1"/>
  <c r="F333" i="5"/>
  <c r="F317" i="5"/>
  <c r="F299" i="5"/>
  <c r="F297" i="5"/>
  <c r="AD351" i="3"/>
  <c r="F116" i="5"/>
  <c r="F344" i="5"/>
  <c r="L344" i="5" s="1"/>
  <c r="F263" i="5"/>
  <c r="F135" i="5"/>
  <c r="F270" i="5"/>
  <c r="F206" i="5"/>
  <c r="F142" i="5"/>
  <c r="F322" i="5"/>
  <c r="F241" i="5"/>
  <c r="AD114" i="3"/>
  <c r="F373" i="5"/>
  <c r="F323" i="5"/>
  <c r="AD157" i="3"/>
  <c r="F321" i="5"/>
  <c r="F152" i="5"/>
  <c r="F327" i="5"/>
  <c r="F164" i="5"/>
  <c r="F356" i="5"/>
  <c r="F292" i="5"/>
  <c r="F275" i="5"/>
  <c r="F147" i="5"/>
  <c r="F218" i="5"/>
  <c r="F154" i="5"/>
  <c r="F334" i="5"/>
  <c r="F253" i="5"/>
  <c r="F189" i="5"/>
  <c r="L189" i="5" s="1"/>
  <c r="F125" i="5"/>
  <c r="F128" i="5"/>
  <c r="F288" i="5"/>
  <c r="F204" i="5"/>
  <c r="F351" i="5"/>
  <c r="F212" i="5"/>
  <c r="F368" i="5"/>
  <c r="F304" i="5"/>
  <c r="F287" i="5"/>
  <c r="F223" i="5"/>
  <c r="F381" i="5"/>
  <c r="F230" i="5"/>
  <c r="L230" i="5" s="1"/>
  <c r="F346" i="5"/>
  <c r="F265" i="5"/>
  <c r="F201" i="5"/>
  <c r="F137" i="5"/>
  <c r="F240" i="5"/>
  <c r="AD69" i="3"/>
  <c r="F251" i="5"/>
  <c r="F187" i="5"/>
  <c r="F123" i="5"/>
  <c r="AD60" i="3"/>
  <c r="F258" i="5"/>
  <c r="F194" i="5"/>
  <c r="F130" i="5"/>
  <c r="F374" i="5"/>
  <c r="F310" i="5"/>
  <c r="F380" i="5"/>
  <c r="F229" i="5"/>
  <c r="F165" i="5"/>
  <c r="AD38" i="3"/>
  <c r="H389" i="5"/>
  <c r="H359" i="5"/>
  <c r="H150" i="5"/>
  <c r="L150" i="5" s="1"/>
  <c r="H314" i="5"/>
  <c r="H233" i="5"/>
  <c r="H169" i="5"/>
  <c r="AD106" i="3"/>
  <c r="H256" i="5"/>
  <c r="H192" i="5"/>
  <c r="H128" i="5"/>
  <c r="AD412" i="3"/>
  <c r="H300" i="5"/>
  <c r="H283" i="5"/>
  <c r="H219" i="5"/>
  <c r="I178" i="5"/>
  <c r="I242" i="5"/>
  <c r="I139" i="5"/>
  <c r="I352" i="5"/>
  <c r="I227" i="5"/>
  <c r="I296" i="5"/>
  <c r="AD40" i="3"/>
  <c r="I351" i="5"/>
  <c r="F370" i="5"/>
  <c r="F295" i="5"/>
  <c r="F195" i="5"/>
  <c r="AD4" i="3"/>
  <c r="F266" i="5"/>
  <c r="F237" i="5"/>
  <c r="F315" i="5"/>
  <c r="F319" i="5"/>
  <c r="F352" i="5"/>
  <c r="F278" i="5"/>
  <c r="F214" i="5"/>
  <c r="F150" i="5"/>
  <c r="F330" i="5"/>
  <c r="F249" i="5"/>
  <c r="L249" i="5" s="1"/>
  <c r="F185" i="5"/>
  <c r="F121" i="5"/>
  <c r="F192" i="5"/>
  <c r="F242" i="5"/>
  <c r="F178" i="5"/>
  <c r="F358" i="5"/>
  <c r="F294" i="5"/>
  <c r="F277" i="5"/>
  <c r="F213" i="5"/>
  <c r="L213" i="5" s="1"/>
  <c r="F149" i="5"/>
  <c r="H295" i="5"/>
  <c r="H258" i="5"/>
  <c r="H362" i="5"/>
  <c r="H298" i="5"/>
  <c r="H281" i="5"/>
  <c r="H217" i="5"/>
  <c r="H153" i="5"/>
  <c r="H321" i="5"/>
  <c r="H391" i="5"/>
  <c r="H240" i="5"/>
  <c r="H176" i="5"/>
  <c r="H267" i="5"/>
  <c r="H203" i="5"/>
  <c r="H139" i="5"/>
  <c r="H351" i="5"/>
  <c r="H238" i="5"/>
  <c r="H234" i="5"/>
  <c r="H134" i="5"/>
  <c r="H310" i="5"/>
  <c r="H380" i="5"/>
  <c r="H229" i="5"/>
  <c r="H165" i="5"/>
  <c r="H333" i="5"/>
  <c r="H252" i="5"/>
  <c r="H188" i="5"/>
  <c r="H124" i="5"/>
  <c r="H360" i="5"/>
  <c r="H296" i="5"/>
  <c r="H215" i="5"/>
  <c r="H151" i="5"/>
  <c r="H254" i="5"/>
  <c r="H246" i="5"/>
  <c r="H162" i="5"/>
  <c r="H257" i="5"/>
  <c r="H129" i="5"/>
  <c r="H361" i="5"/>
  <c r="H280" i="5"/>
  <c r="H216" i="5"/>
  <c r="H152" i="5"/>
  <c r="H324" i="5"/>
  <c r="H202" i="5"/>
  <c r="H311" i="5"/>
  <c r="H274" i="5"/>
  <c r="L274" i="5" s="1"/>
  <c r="H302" i="5"/>
  <c r="H221" i="5"/>
  <c r="H325" i="5"/>
  <c r="H352" i="5"/>
  <c r="F341" i="5"/>
  <c r="F236" i="5"/>
  <c r="F232" i="5"/>
  <c r="F244" i="5"/>
  <c r="F312" i="5"/>
  <c r="F382" i="5"/>
  <c r="AD81" i="3"/>
  <c r="AD59" i="3"/>
  <c r="AD329" i="3"/>
  <c r="AD73" i="3"/>
  <c r="I309" i="5"/>
  <c r="L309" i="5" s="1"/>
  <c r="I65" i="5"/>
  <c r="I161" i="5"/>
  <c r="I225" i="5"/>
  <c r="I146" i="5"/>
  <c r="L146" i="5" s="1"/>
  <c r="I210" i="5"/>
  <c r="I267" i="5"/>
  <c r="I310" i="5"/>
  <c r="I289" i="5"/>
  <c r="I327" i="5"/>
  <c r="AD100" i="3"/>
  <c r="I388" i="5"/>
  <c r="I319" i="5"/>
  <c r="I135" i="5"/>
  <c r="I215" i="5"/>
  <c r="AD403" i="3"/>
  <c r="AD13" i="3"/>
  <c r="AD183" i="3"/>
  <c r="H155" i="5"/>
  <c r="H385" i="5"/>
  <c r="H198" i="5"/>
  <c r="H323" i="5"/>
  <c r="H326" i="5"/>
  <c r="H245" i="5"/>
  <c r="L245" i="5" s="1"/>
  <c r="H181" i="5"/>
  <c r="H117" i="5"/>
  <c r="L117" i="5" s="1"/>
  <c r="H268" i="5"/>
  <c r="H140" i="5"/>
  <c r="H376" i="5"/>
  <c r="H382" i="5"/>
  <c r="L382" i="5" s="1"/>
  <c r="H231" i="5"/>
  <c r="H167" i="5"/>
  <c r="AD104" i="3"/>
  <c r="H363" i="5"/>
  <c r="H154" i="5"/>
  <c r="H226" i="5"/>
  <c r="H354" i="5"/>
  <c r="H273" i="5"/>
  <c r="H209" i="5"/>
  <c r="H145" i="5"/>
  <c r="H383" i="5"/>
  <c r="H232" i="5"/>
  <c r="H340" i="5"/>
  <c r="H259" i="5"/>
  <c r="H195" i="5"/>
  <c r="H131" i="5"/>
  <c r="H319" i="5"/>
  <c r="H266" i="5"/>
  <c r="H370" i="5"/>
  <c r="H166" i="5"/>
  <c r="H318" i="5"/>
  <c r="H388" i="5"/>
  <c r="H237" i="5"/>
  <c r="H173" i="5"/>
  <c r="H341" i="5"/>
  <c r="H260" i="5"/>
  <c r="AD197" i="3"/>
  <c r="H132" i="5"/>
  <c r="H368" i="5"/>
  <c r="H304" i="5"/>
  <c r="H287" i="5"/>
  <c r="H223" i="5"/>
  <c r="H159" i="5"/>
  <c r="I45" i="5"/>
  <c r="I149" i="5"/>
  <c r="I213" i="5"/>
  <c r="I6" i="5"/>
  <c r="I70" i="5"/>
  <c r="I134" i="5"/>
  <c r="I198" i="5"/>
  <c r="I262" i="5"/>
  <c r="I219" i="5"/>
  <c r="I294" i="5"/>
  <c r="I15" i="5"/>
  <c r="I271" i="5"/>
  <c r="I311" i="5"/>
  <c r="I51" i="5"/>
  <c r="I285" i="5"/>
  <c r="I323" i="5"/>
  <c r="I367" i="5"/>
  <c r="I151" i="5"/>
  <c r="G318" i="5"/>
  <c r="G325" i="5"/>
  <c r="G233" i="5"/>
  <c r="G148" i="5"/>
  <c r="G21" i="5"/>
  <c r="G20" i="5"/>
  <c r="G323" i="5"/>
  <c r="G17" i="5"/>
  <c r="G120" i="5"/>
  <c r="L120" i="5" s="1"/>
  <c r="G370" i="5"/>
  <c r="G112" i="5"/>
  <c r="G203" i="5"/>
  <c r="G281" i="5"/>
  <c r="G353" i="5"/>
  <c r="G271" i="5"/>
  <c r="G185" i="5"/>
  <c r="G77" i="5"/>
  <c r="G352" i="5"/>
  <c r="G184" i="5"/>
  <c r="G76" i="5"/>
  <c r="G268" i="5"/>
  <c r="G183" i="5"/>
  <c r="G171" i="5"/>
  <c r="G346" i="5"/>
  <c r="G387" i="5"/>
  <c r="G5" i="5"/>
  <c r="G316" i="5"/>
  <c r="G386" i="5"/>
  <c r="G315" i="5"/>
  <c r="G143" i="5"/>
  <c r="G226" i="5"/>
  <c r="G162" i="5"/>
  <c r="G34" i="5"/>
  <c r="G40" i="5"/>
  <c r="G155" i="5"/>
  <c r="G239" i="5"/>
  <c r="G153" i="5"/>
  <c r="G328" i="5"/>
  <c r="G237" i="5"/>
  <c r="G327" i="5"/>
  <c r="G236" i="5"/>
  <c r="G27" i="5"/>
  <c r="G238" i="5"/>
  <c r="I325" i="5"/>
  <c r="I169" i="5"/>
  <c r="I233" i="5"/>
  <c r="I43" i="5"/>
  <c r="I386" i="5"/>
  <c r="I338" i="5"/>
  <c r="I131" i="5"/>
  <c r="I362" i="5"/>
  <c r="J67" i="5"/>
  <c r="J219" i="5"/>
  <c r="J278" i="5"/>
  <c r="J368" i="5"/>
  <c r="J304" i="5"/>
  <c r="J271" i="5"/>
  <c r="J186" i="5"/>
  <c r="J74" i="5"/>
  <c r="J243" i="5"/>
  <c r="J158" i="5"/>
  <c r="L158" i="5" s="1"/>
  <c r="J326" i="5"/>
  <c r="J388" i="5"/>
  <c r="J215" i="5"/>
  <c r="J118" i="5"/>
  <c r="L118" i="5" s="1"/>
  <c r="J149" i="5"/>
  <c r="J85" i="5"/>
  <c r="J21" i="5"/>
  <c r="J32" i="5"/>
  <c r="J301" i="5"/>
  <c r="J283" i="5"/>
  <c r="J293" i="5"/>
  <c r="J11" i="5"/>
  <c r="J316" i="5"/>
  <c r="J287" i="5"/>
  <c r="J202" i="5"/>
  <c r="J98" i="5"/>
  <c r="J359" i="5"/>
  <c r="J295" i="5"/>
  <c r="J259" i="5"/>
  <c r="J174" i="5"/>
  <c r="J55" i="5"/>
  <c r="J338" i="5"/>
  <c r="J231" i="5"/>
  <c r="J142" i="5"/>
  <c r="J14" i="5"/>
  <c r="J97" i="5"/>
  <c r="J33" i="5"/>
  <c r="J387" i="5"/>
  <c r="J236" i="5"/>
  <c r="J172" i="5"/>
  <c r="J44" i="5"/>
  <c r="J203" i="5"/>
  <c r="L203" i="5" s="1"/>
  <c r="J297" i="5"/>
  <c r="J341" i="5"/>
  <c r="J19" i="5"/>
  <c r="J107" i="5"/>
  <c r="J328" i="5"/>
  <c r="J390" i="5"/>
  <c r="J218" i="5"/>
  <c r="J371" i="5"/>
  <c r="J307" i="5"/>
  <c r="J275" i="5"/>
  <c r="J190" i="5"/>
  <c r="J79" i="5"/>
  <c r="J350" i="5"/>
  <c r="J247" i="5"/>
  <c r="J162" i="5"/>
  <c r="J38" i="5"/>
  <c r="J109" i="5"/>
  <c r="J45" i="5"/>
  <c r="J248" i="5"/>
  <c r="J184" i="5"/>
  <c r="J120" i="5"/>
  <c r="J56" i="5"/>
  <c r="J131" i="5"/>
  <c r="J246" i="5"/>
  <c r="L246" i="5" s="1"/>
  <c r="J155" i="5"/>
  <c r="J214" i="5"/>
  <c r="J273" i="5"/>
  <c r="J356" i="5"/>
  <c r="L356" i="5" s="1"/>
  <c r="J292" i="5"/>
  <c r="J255" i="5"/>
  <c r="J170" i="5"/>
  <c r="J50" i="5"/>
  <c r="J335" i="5"/>
  <c r="J314" i="5"/>
  <c r="J285" i="5"/>
  <c r="J94" i="5"/>
  <c r="J137" i="5"/>
  <c r="J73" i="5"/>
  <c r="J9" i="5"/>
  <c r="J276" i="5"/>
  <c r="J148" i="5"/>
  <c r="J84" i="5"/>
  <c r="J20" i="5"/>
  <c r="I305" i="5"/>
  <c r="L305" i="5" s="1"/>
  <c r="I157" i="5"/>
  <c r="I221" i="5"/>
  <c r="I206" i="5"/>
  <c r="I270" i="5"/>
  <c r="I251" i="5"/>
  <c r="I304" i="5"/>
  <c r="I283" i="5"/>
  <c r="I334" i="5"/>
  <c r="I298" i="5"/>
  <c r="L298" i="5" s="1"/>
  <c r="I71" i="5"/>
  <c r="I356" i="5"/>
  <c r="I89" i="5"/>
  <c r="I333" i="5"/>
  <c r="I252" i="5"/>
  <c r="I188" i="5"/>
  <c r="I124" i="5"/>
  <c r="I60" i="5"/>
  <c r="I117" i="5"/>
  <c r="I361" i="5"/>
  <c r="I297" i="5"/>
  <c r="I280" i="5"/>
  <c r="I216" i="5"/>
  <c r="I152" i="5"/>
  <c r="I88" i="5"/>
  <c r="I24" i="5"/>
  <c r="I379" i="5"/>
  <c r="I228" i="5"/>
  <c r="I164" i="5"/>
  <c r="L164" i="5" s="1"/>
  <c r="I36" i="5"/>
  <c r="I391" i="5"/>
  <c r="I240" i="5"/>
  <c r="I176" i="5"/>
  <c r="AD201" i="3"/>
  <c r="F200" i="5"/>
  <c r="AD167" i="3"/>
  <c r="F166" i="5"/>
  <c r="L166" i="5" s="1"/>
  <c r="AD321" i="3"/>
  <c r="AD397" i="3"/>
  <c r="H349" i="5"/>
  <c r="AD188" i="3"/>
  <c r="F345" i="5"/>
  <c r="AD393" i="3"/>
  <c r="AD316" i="3"/>
  <c r="AD298" i="3"/>
  <c r="H384" i="5"/>
  <c r="AD385" i="3"/>
  <c r="H337" i="5"/>
  <c r="H290" i="5"/>
  <c r="L290" i="5" s="1"/>
  <c r="AD338" i="3"/>
  <c r="AD169" i="3"/>
  <c r="H168" i="5"/>
  <c r="L168" i="5" s="1"/>
  <c r="AD232" i="3"/>
  <c r="F156" i="5"/>
  <c r="H364" i="5"/>
  <c r="L364" i="5" s="1"/>
  <c r="AD392" i="3"/>
  <c r="AD411" i="3"/>
  <c r="AD168" i="3"/>
  <c r="AD210" i="3"/>
  <c r="F211" i="5"/>
  <c r="L211" i="5" s="1"/>
  <c r="AD212" i="3"/>
  <c r="F159" i="5"/>
  <c r="AD160" i="3"/>
  <c r="AD209" i="3"/>
  <c r="F208" i="5"/>
  <c r="L208" i="5" s="1"/>
  <c r="AD325" i="3"/>
  <c r="AD380" i="3"/>
  <c r="F332" i="5"/>
  <c r="AD223" i="3"/>
  <c r="H222" i="5"/>
  <c r="L222" i="5" s="1"/>
  <c r="AD251" i="3"/>
  <c r="H250" i="5"/>
  <c r="E142" i="5"/>
  <c r="L142" i="5" s="1"/>
  <c r="AD143" i="3"/>
  <c r="F303" i="5"/>
  <c r="L303" i="5" s="1"/>
  <c r="AD190" i="3"/>
  <c r="AD41" i="3"/>
  <c r="AD56" i="3"/>
  <c r="AD349" i="3"/>
  <c r="AD89" i="3"/>
  <c r="AD101" i="3"/>
  <c r="AD75" i="3"/>
  <c r="AD80" i="3"/>
  <c r="AD16" i="3"/>
  <c r="AD44" i="3"/>
  <c r="AD402" i="3"/>
  <c r="F363" i="5"/>
  <c r="AD217" i="3"/>
  <c r="AD55" i="3"/>
  <c r="AD310" i="3"/>
  <c r="AD246" i="3"/>
  <c r="AD182" i="3"/>
  <c r="AD130" i="3"/>
  <c r="AD108" i="3"/>
  <c r="AD17" i="3"/>
  <c r="AD36" i="3"/>
  <c r="AD348" i="3"/>
  <c r="AD303" i="3"/>
  <c r="AD30" i="3"/>
  <c r="AD29" i="3"/>
  <c r="AD175" i="3"/>
  <c r="AD398" i="3"/>
  <c r="AD362" i="3"/>
  <c r="AD395" i="3"/>
  <c r="AD32" i="3"/>
  <c r="AD123" i="3"/>
  <c r="AD200" i="3"/>
  <c r="AD95" i="3"/>
  <c r="AD42" i="3"/>
  <c r="AD72" i="3"/>
  <c r="AD68" i="3"/>
  <c r="AD424" i="3"/>
  <c r="AD79" i="3"/>
  <c r="AD50" i="3"/>
  <c r="AD312" i="3"/>
  <c r="F301" i="5"/>
  <c r="F173" i="5"/>
  <c r="L173" i="5" s="1"/>
  <c r="AD235" i="3"/>
  <c r="AD145" i="3"/>
  <c r="F144" i="5"/>
  <c r="AD45" i="3"/>
  <c r="AD309" i="3"/>
  <c r="F183" i="5"/>
  <c r="AD184" i="3"/>
  <c r="AD255" i="3"/>
  <c r="F254" i="5"/>
  <c r="AD63" i="3"/>
  <c r="F306" i="5"/>
  <c r="AD354" i="3"/>
  <c r="F225" i="5"/>
  <c r="L225" i="5" s="1"/>
  <c r="AD226" i="3"/>
  <c r="AD162" i="3"/>
  <c r="F161" i="5"/>
  <c r="L161" i="5" s="1"/>
  <c r="AD333" i="3"/>
  <c r="AD388" i="3"/>
  <c r="F340" i="5"/>
  <c r="AD132" i="3"/>
  <c r="F131" i="5"/>
  <c r="AD366" i="3"/>
  <c r="F318" i="5"/>
  <c r="F388" i="5"/>
  <c r="AD238" i="3"/>
  <c r="AD110" i="3"/>
  <c r="AD257" i="3"/>
  <c r="F256" i="5"/>
  <c r="L256" i="5" s="1"/>
  <c r="AD363" i="3"/>
  <c r="AD361" i="3"/>
  <c r="F313" i="5"/>
  <c r="AD149" i="3"/>
  <c r="F148" i="5"/>
  <c r="AD336" i="3"/>
  <c r="AD208" i="3"/>
  <c r="F207" i="5"/>
  <c r="L207" i="5" s="1"/>
  <c r="AD419" i="3"/>
  <c r="F371" i="5"/>
  <c r="AD417" i="3"/>
  <c r="F369" i="5"/>
  <c r="L369" i="5" s="1"/>
  <c r="AD423" i="3"/>
  <c r="F375" i="5"/>
  <c r="L375" i="5" s="1"/>
  <c r="AD5" i="3"/>
  <c r="AD300" i="3"/>
  <c r="F386" i="5"/>
  <c r="AD172" i="3"/>
  <c r="F171" i="5"/>
  <c r="H186" i="5"/>
  <c r="L186" i="5" s="1"/>
  <c r="AD187" i="3"/>
  <c r="H367" i="5"/>
  <c r="AD386" i="3"/>
  <c r="H338" i="5"/>
  <c r="AD194" i="3"/>
  <c r="H193" i="5"/>
  <c r="AD66" i="3"/>
  <c r="H243" i="5"/>
  <c r="L243" i="5" s="1"/>
  <c r="H270" i="5"/>
  <c r="AD271" i="3"/>
  <c r="AD286" i="3"/>
  <c r="H285" i="5"/>
  <c r="L285" i="5" s="1"/>
  <c r="AD158" i="3"/>
  <c r="H157" i="5"/>
  <c r="H180" i="5"/>
  <c r="L180" i="5" s="1"/>
  <c r="AD181" i="3"/>
  <c r="AD326" i="3"/>
  <c r="AD233" i="3"/>
  <c r="G232" i="5"/>
  <c r="AD88" i="3"/>
  <c r="G234" i="5"/>
  <c r="L234" i="5" s="1"/>
  <c r="AD107" i="3"/>
  <c r="G269" i="5"/>
  <c r="G351" i="5"/>
  <c r="AD116" i="3"/>
  <c r="G262" i="5"/>
  <c r="AD71" i="3"/>
  <c r="AD334" i="3"/>
  <c r="AD134" i="3"/>
  <c r="G132" i="5"/>
  <c r="AD133" i="3"/>
  <c r="AD299" i="3"/>
  <c r="G129" i="5"/>
  <c r="AD322" i="3"/>
  <c r="G329" i="5"/>
  <c r="AD153" i="3"/>
  <c r="AD152" i="3"/>
  <c r="G151" i="5"/>
  <c r="AD82" i="3"/>
  <c r="I154" i="5"/>
  <c r="AD368" i="3"/>
  <c r="AD289" i="3"/>
  <c r="AD225" i="3"/>
  <c r="AD97" i="3"/>
  <c r="AD318" i="3"/>
  <c r="AD109" i="3"/>
  <c r="AD383" i="3"/>
  <c r="AD228" i="3"/>
  <c r="AD8" i="3"/>
  <c r="E273" i="5"/>
  <c r="AD274" i="3"/>
  <c r="AD315" i="3"/>
  <c r="AD264" i="3"/>
  <c r="AD170" i="3"/>
  <c r="E169" i="5"/>
  <c r="AD249" i="3"/>
  <c r="AD267" i="3"/>
  <c r="E266" i="5"/>
  <c r="AD46" i="3"/>
  <c r="AD98" i="3"/>
  <c r="E357" i="5"/>
  <c r="AD405" i="3"/>
  <c r="AD341" i="3"/>
  <c r="E293" i="5"/>
  <c r="L293" i="5" s="1"/>
  <c r="E262" i="5"/>
  <c r="AD263" i="3"/>
  <c r="AD390" i="3"/>
  <c r="E342" i="5"/>
  <c r="AD219" i="3"/>
  <c r="E218" i="5"/>
  <c r="L218" i="5" s="1"/>
  <c r="AD319" i="3"/>
  <c r="E233" i="5"/>
  <c r="L233" i="5" s="1"/>
  <c r="AD234" i="3"/>
  <c r="E123" i="5"/>
  <c r="AD124" i="3"/>
  <c r="AD254" i="3"/>
  <c r="E253" i="5"/>
  <c r="AD241" i="3"/>
  <c r="E125" i="5"/>
  <c r="AD126" i="3"/>
  <c r="AD20" i="3"/>
  <c r="AD91" i="3"/>
  <c r="E252" i="5"/>
  <c r="AD253" i="3"/>
  <c r="AD353" i="3"/>
  <c r="I142" i="5"/>
  <c r="AD84" i="3"/>
  <c r="G23" i="5"/>
  <c r="G70" i="5"/>
  <c r="J337" i="5"/>
  <c r="J7" i="5"/>
  <c r="J347" i="5"/>
  <c r="L347" i="5" s="1"/>
  <c r="J160" i="5"/>
  <c r="J227" i="5"/>
  <c r="I350" i="5"/>
  <c r="E376" i="5"/>
  <c r="L376" i="5" s="1"/>
  <c r="E248" i="5"/>
  <c r="E240" i="5"/>
  <c r="G174" i="5"/>
  <c r="AD409" i="3"/>
  <c r="AD306" i="3"/>
  <c r="AD177" i="3"/>
  <c r="F176" i="5"/>
  <c r="AD301" i="3"/>
  <c r="F387" i="5"/>
  <c r="F383" i="5"/>
  <c r="AD297" i="3"/>
  <c r="AD53" i="3"/>
  <c r="AD376" i="3"/>
  <c r="F328" i="5"/>
  <c r="F247" i="5"/>
  <c r="AD248" i="3"/>
  <c r="AD120" i="3"/>
  <c r="F119" i="5"/>
  <c r="L119" i="5" s="1"/>
  <c r="AD191" i="3"/>
  <c r="F190" i="5"/>
  <c r="L190" i="5" s="1"/>
  <c r="AD127" i="3"/>
  <c r="F126" i="5"/>
  <c r="L126" i="5" s="1"/>
  <c r="F289" i="5"/>
  <c r="AD34" i="3"/>
  <c r="AD339" i="3"/>
  <c r="F291" i="5"/>
  <c r="AD93" i="3"/>
  <c r="AD337" i="3"/>
  <c r="AD260" i="3"/>
  <c r="F259" i="5"/>
  <c r="L259" i="5" s="1"/>
  <c r="AD203" i="3"/>
  <c r="F202" i="5"/>
  <c r="L202" i="5" s="1"/>
  <c r="AD139" i="3"/>
  <c r="F138" i="5"/>
  <c r="L138" i="5" s="1"/>
  <c r="AD11" i="3"/>
  <c r="AD33" i="3"/>
  <c r="F140" i="5"/>
  <c r="AD141" i="3"/>
  <c r="AD137" i="3"/>
  <c r="AD272" i="3"/>
  <c r="F271" i="5"/>
  <c r="AD144" i="3"/>
  <c r="F143" i="5"/>
  <c r="F357" i="5"/>
  <c r="L357" i="5" s="1"/>
  <c r="F252" i="5"/>
  <c r="F248" i="5"/>
  <c r="L248" i="5" s="1"/>
  <c r="F260" i="5"/>
  <c r="AD261" i="3"/>
  <c r="F316" i="5"/>
  <c r="AD364" i="3"/>
  <c r="AD236" i="3"/>
  <c r="F235" i="5"/>
  <c r="L235" i="5" s="1"/>
  <c r="AD207" i="3"/>
  <c r="H206" i="5"/>
  <c r="L206" i="5" s="1"/>
  <c r="AD396" i="3"/>
  <c r="H348" i="5"/>
  <c r="L348" i="5" s="1"/>
  <c r="AD391" i="3"/>
  <c r="H343" i="5"/>
  <c r="L343" i="5" s="1"/>
  <c r="AD345" i="3"/>
  <c r="H297" i="5"/>
  <c r="AD180" i="3"/>
  <c r="H179" i="5"/>
  <c r="L179" i="5" s="1"/>
  <c r="AD245" i="3"/>
  <c r="H244" i="5"/>
  <c r="L244" i="5" s="1"/>
  <c r="H116" i="5"/>
  <c r="L116" i="5" s="1"/>
  <c r="AD117" i="3"/>
  <c r="AD9" i="3"/>
  <c r="AD129" i="3"/>
  <c r="G128" i="5"/>
  <c r="L128" i="5" s="1"/>
  <c r="AD373" i="3"/>
  <c r="G324" i="5"/>
  <c r="AD372" i="3"/>
  <c r="AD308" i="3"/>
  <c r="G147" i="5"/>
  <c r="G231" i="5"/>
  <c r="AD171" i="3"/>
  <c r="G170" i="5"/>
  <c r="AD43" i="3"/>
  <c r="AD78" i="3"/>
  <c r="AD52" i="3"/>
  <c r="G198" i="5"/>
  <c r="AD135" i="3"/>
  <c r="G134" i="5"/>
  <c r="AD7" i="3"/>
  <c r="AD273" i="3"/>
  <c r="G272" i="5"/>
  <c r="L272" i="5" s="1"/>
  <c r="AD365" i="3"/>
  <c r="G317" i="5"/>
  <c r="L317" i="5" s="1"/>
  <c r="AD224" i="3"/>
  <c r="G223" i="5"/>
  <c r="AD222" i="3"/>
  <c r="G221" i="5"/>
  <c r="G342" i="5"/>
  <c r="AD382" i="3"/>
  <c r="G334" i="5"/>
  <c r="AD237" i="3"/>
  <c r="AD239" i="3"/>
  <c r="AD47" i="3"/>
  <c r="I218" i="5"/>
  <c r="I282" i="5"/>
  <c r="L282" i="5" s="1"/>
  <c r="AD283" i="3"/>
  <c r="AD96" i="3"/>
  <c r="I263" i="5"/>
  <c r="AD159" i="3"/>
  <c r="AD288" i="3"/>
  <c r="AD173" i="3"/>
  <c r="AD136" i="3"/>
  <c r="AD290" i="3"/>
  <c r="E289" i="5"/>
  <c r="E352" i="5"/>
  <c r="AD400" i="3"/>
  <c r="AD415" i="3"/>
  <c r="E367" i="5"/>
  <c r="AD244" i="3"/>
  <c r="E243" i="5"/>
  <c r="AD350" i="3"/>
  <c r="AD377" i="3"/>
  <c r="E329" i="5"/>
  <c r="L329" i="5" s="1"/>
  <c r="AD185" i="3"/>
  <c r="AD24" i="3"/>
  <c r="AD352" i="3"/>
  <c r="AD174" i="3"/>
  <c r="AD367" i="3"/>
  <c r="E319" i="5"/>
  <c r="E195" i="5"/>
  <c r="AD196" i="3"/>
  <c r="E388" i="5"/>
  <c r="AD302" i="3"/>
  <c r="AD216" i="3"/>
  <c r="E215" i="5"/>
  <c r="L215" i="5" s="1"/>
  <c r="AD213" i="3"/>
  <c r="E257" i="5"/>
  <c r="AD258" i="3"/>
  <c r="AD404" i="3"/>
  <c r="E356" i="5"/>
  <c r="AD15" i="3"/>
  <c r="AD335" i="3"/>
  <c r="AD148" i="3"/>
  <c r="E147" i="5"/>
  <c r="AD355" i="3"/>
  <c r="AD270" i="3"/>
  <c r="E269" i="5"/>
  <c r="L269" i="5" s="1"/>
  <c r="E177" i="5"/>
  <c r="AD178" i="3"/>
  <c r="E154" i="5"/>
  <c r="AD155" i="3"/>
  <c r="AD27" i="3"/>
  <c r="AD62" i="3"/>
  <c r="AD252" i="3"/>
  <c r="AD370" i="3"/>
  <c r="I322" i="5"/>
  <c r="AD296" i="3"/>
  <c r="G28" i="5"/>
  <c r="G8" i="5"/>
  <c r="J31" i="5"/>
  <c r="J288" i="5"/>
  <c r="L288" i="5" s="1"/>
  <c r="J212" i="5"/>
  <c r="L212" i="5" s="1"/>
  <c r="J108" i="5"/>
  <c r="J199" i="5"/>
  <c r="J135" i="5"/>
  <c r="L135" i="5" s="1"/>
  <c r="J122" i="5"/>
  <c r="G145" i="5"/>
  <c r="L145" i="5" s="1"/>
  <c r="G385" i="5"/>
  <c r="F136" i="5"/>
  <c r="L136" i="5" s="1"/>
  <c r="AD242" i="3"/>
  <c r="AD99" i="3"/>
  <c r="I162" i="5"/>
  <c r="AD227" i="3"/>
  <c r="I226" i="5"/>
  <c r="AD164" i="3"/>
  <c r="AD408" i="3"/>
  <c r="I360" i="5"/>
  <c r="L360" i="5" s="1"/>
  <c r="AD276" i="3"/>
  <c r="I275" i="5"/>
  <c r="AD280" i="3"/>
  <c r="H279" i="5"/>
  <c r="L279" i="5" s="1"/>
  <c r="AD414" i="3"/>
  <c r="H366" i="5"/>
  <c r="L366" i="5" s="1"/>
  <c r="AD347" i="3"/>
  <c r="H299" i="5"/>
  <c r="AD94" i="3"/>
  <c r="I81" i="5"/>
  <c r="G133" i="5"/>
  <c r="L133" i="5" s="1"/>
  <c r="J224" i="5"/>
  <c r="L224" i="5" s="1"/>
  <c r="J96" i="5"/>
  <c r="G152" i="5"/>
  <c r="L152" i="5" s="1"/>
  <c r="I320" i="5"/>
  <c r="L320" i="5" s="1"/>
  <c r="I382" i="5"/>
  <c r="I389" i="5"/>
  <c r="I314" i="5"/>
  <c r="E307" i="5"/>
  <c r="E302" i="5"/>
  <c r="G220" i="5"/>
  <c r="L220" i="5" s="1"/>
  <c r="AD161" i="3"/>
  <c r="AD399" i="3"/>
  <c r="AD221" i="3"/>
  <c r="AD418" i="3"/>
  <c r="AD327" i="3"/>
  <c r="AD111" i="3"/>
  <c r="AD146" i="3"/>
  <c r="AD18" i="3"/>
  <c r="AD199" i="3"/>
  <c r="AD113" i="3"/>
  <c r="AD281" i="3"/>
  <c r="AD293" i="3"/>
  <c r="AD37" i="3"/>
  <c r="AD77" i="3"/>
  <c r="AD85" i="3"/>
  <c r="AD320" i="3"/>
  <c r="AD189" i="3"/>
  <c r="AD284" i="3"/>
  <c r="AD220" i="3"/>
  <c r="AD156" i="3"/>
  <c r="AD92" i="3"/>
  <c r="AD28" i="3"/>
  <c r="AD65" i="3"/>
  <c r="AD401" i="3"/>
  <c r="AD229" i="3"/>
  <c r="AD269" i="3"/>
  <c r="AD247" i="3"/>
  <c r="AD119" i="3"/>
  <c r="AD410" i="3"/>
  <c r="AD346" i="3"/>
  <c r="AD218" i="3"/>
  <c r="AD154" i="3"/>
  <c r="AD90" i="3"/>
  <c r="AD26" i="3"/>
  <c r="AD125" i="3"/>
  <c r="AD121" i="3"/>
  <c r="AD359" i="3"/>
  <c r="AD275" i="3"/>
  <c r="AD374" i="3"/>
  <c r="AD118" i="3"/>
  <c r="AD54" i="3"/>
  <c r="AD381" i="3"/>
  <c r="AD340" i="3"/>
  <c r="AD416" i="3"/>
  <c r="AD295" i="3"/>
  <c r="AD231" i="3"/>
  <c r="AD103" i="3"/>
  <c r="AD39" i="3"/>
  <c r="AD330" i="3"/>
  <c r="AD266" i="3"/>
  <c r="AD202" i="3"/>
  <c r="AD138" i="3"/>
  <c r="AD74" i="3"/>
  <c r="AD10" i="3"/>
  <c r="AD313" i="3"/>
  <c r="AD230" i="3"/>
  <c r="AD166" i="3"/>
  <c r="AD102" i="3"/>
  <c r="AD379" i="3"/>
  <c r="AD332" i="3"/>
  <c r="AD140" i="3"/>
  <c r="AD12" i="3"/>
  <c r="AD151" i="3"/>
  <c r="AD87" i="3"/>
  <c r="AD23" i="3"/>
  <c r="AD57" i="3"/>
  <c r="AD48" i="3"/>
  <c r="AD179" i="3"/>
  <c r="AD115" i="3"/>
  <c r="AD51" i="3"/>
  <c r="AD277" i="3"/>
  <c r="AD21" i="3"/>
  <c r="AD304" i="3"/>
  <c r="AD369" i="3"/>
  <c r="AD305" i="3"/>
  <c r="AD49" i="3"/>
  <c r="AD406" i="3"/>
  <c r="AD420" i="3"/>
  <c r="AD250" i="3"/>
  <c r="AD317" i="3"/>
  <c r="AD61" i="3"/>
  <c r="AD256" i="3"/>
  <c r="AD192" i="3"/>
  <c r="AD128" i="3"/>
  <c r="AD64" i="3"/>
  <c r="AD387" i="3"/>
  <c r="AD204" i="3"/>
  <c r="AD86" i="3"/>
  <c r="AD243" i="3"/>
  <c r="AD105" i="3"/>
  <c r="AD389" i="3"/>
  <c r="AD122" i="3"/>
  <c r="AD384" i="3"/>
  <c r="AD214" i="3"/>
  <c r="AD314" i="3"/>
  <c r="AD344" i="3"/>
  <c r="AD311" i="3"/>
  <c r="AD282" i="3"/>
  <c r="AD211" i="3"/>
  <c r="AD147" i="3"/>
  <c r="AD83" i="3"/>
  <c r="AD19" i="3"/>
  <c r="AD76" i="3"/>
  <c r="AD307" i="3"/>
  <c r="AD25" i="3"/>
  <c r="AD343" i="3"/>
  <c r="AD268" i="3"/>
  <c r="AD324" i="3"/>
  <c r="AD215" i="3"/>
  <c r="AD112" i="3"/>
  <c r="AD278" i="3"/>
  <c r="AD378" i="3"/>
  <c r="AD421" i="3"/>
  <c r="AD375" i="3"/>
  <c r="AD394" i="3"/>
  <c r="AD323" i="3"/>
  <c r="AD259" i="3"/>
  <c r="AD195" i="3"/>
  <c r="AD131" i="3"/>
  <c r="AD67" i="3"/>
  <c r="AD422" i="3"/>
  <c r="AD358" i="3"/>
  <c r="AD294" i="3"/>
  <c r="AD150" i="3"/>
  <c r="AD22" i="3"/>
  <c r="AD371" i="3"/>
  <c r="AD407" i="3"/>
  <c r="AD176" i="3"/>
  <c r="AD165" i="3"/>
  <c r="AD279" i="3"/>
  <c r="AD240" i="3"/>
  <c r="AD186" i="3"/>
  <c r="AD58" i="3"/>
  <c r="AD193" i="3"/>
  <c r="AD342" i="3"/>
  <c r="AD205" i="3"/>
  <c r="AD163" i="3"/>
  <c r="AD35" i="3"/>
  <c r="AD357" i="3"/>
  <c r="AD6" i="3"/>
  <c r="AD3" i="3"/>
  <c r="L209" i="5"/>
  <c r="L264" i="5"/>
  <c r="L200" i="5"/>
  <c r="L390" i="5"/>
  <c r="L134" i="5"/>
  <c r="L381" i="5"/>
  <c r="L253" i="5"/>
  <c r="L372" i="5"/>
  <c r="L308" i="5"/>
  <c r="L239" i="5"/>
  <c r="L175" i="5"/>
  <c r="L354" i="5"/>
  <c r="L345" i="5"/>
  <c r="L217" i="5"/>
  <c r="L153" i="5"/>
  <c r="L336" i="5"/>
  <c r="L144" i="5"/>
  <c r="L331" i="5"/>
  <c r="L139" i="5"/>
  <c r="L181" i="5"/>
  <c r="L300" i="5"/>
  <c r="L172" i="5"/>
  <c r="L359" i="5"/>
  <c r="L167" i="5"/>
  <c r="L312" i="5"/>
  <c r="L184" i="5"/>
  <c r="L182" i="5"/>
  <c r="L292" i="5"/>
  <c r="L228" i="5"/>
  <c r="L159" i="5"/>
  <c r="L210" i="5"/>
  <c r="L265" i="5"/>
  <c r="L201" i="5"/>
  <c r="L384" i="5"/>
  <c r="L192" i="5"/>
  <c r="L379" i="5"/>
  <c r="L187" i="5"/>
  <c r="L123" i="5"/>
  <c r="L229" i="5"/>
  <c r="L156" i="5"/>
  <c r="L378" i="5"/>
  <c r="L250" i="5"/>
  <c r="L241" i="5"/>
  <c r="L177" i="5"/>
  <c r="L296" i="5"/>
  <c r="L355" i="5"/>
  <c r="L291" i="5"/>
  <c r="L163" i="5"/>
  <c r="L157" i="5"/>
  <c r="L335" i="5"/>
  <c r="L143" i="5"/>
  <c r="L322" i="5"/>
  <c r="L258" i="5"/>
  <c r="L194" i="5"/>
  <c r="L130" i="5"/>
  <c r="L185" i="5"/>
  <c r="L121" i="5"/>
  <c r="L240" i="5"/>
  <c r="L286" i="5"/>
  <c r="L341" i="5"/>
  <c r="L277" i="5"/>
  <c r="L149" i="5"/>
  <c r="L332" i="5"/>
  <c r="L204" i="5"/>
  <c r="L140" i="5"/>
  <c r="L263" i="5"/>
  <c r="L199" i="5"/>
  <c r="L362" i="5"/>
  <c r="L216" i="5"/>
  <c r="L339" i="5"/>
  <c r="L278" i="5"/>
  <c r="L205" i="5"/>
  <c r="L141" i="5"/>
  <c r="L324" i="5"/>
  <c r="L196" i="5"/>
  <c r="L132" i="5"/>
  <c r="L255" i="5"/>
  <c r="L306" i="5"/>
  <c r="L242" i="5"/>
  <c r="L361" i="5"/>
  <c r="L160" i="5"/>
  <c r="L155" i="5"/>
  <c r="L389" i="5"/>
  <c r="L325" i="5"/>
  <c r="L261" i="5"/>
  <c r="L197" i="5"/>
  <c r="L316" i="5"/>
  <c r="L188" i="5"/>
  <c r="L311" i="5"/>
  <c r="L183" i="5"/>
  <c r="E104" i="5"/>
  <c r="E36" i="5"/>
  <c r="E71" i="5"/>
  <c r="E6" i="5"/>
  <c r="H18" i="5"/>
  <c r="H70" i="5"/>
  <c r="H34" i="5"/>
  <c r="H101" i="5"/>
  <c r="H11" i="5"/>
  <c r="H3" i="5"/>
  <c r="H115" i="5"/>
  <c r="H44" i="5"/>
  <c r="H15" i="5"/>
  <c r="H23" i="5"/>
  <c r="H59" i="5"/>
  <c r="H114" i="5"/>
  <c r="F60" i="5"/>
  <c r="F81" i="5"/>
  <c r="F19" i="5"/>
  <c r="F63" i="5"/>
  <c r="F68" i="5"/>
  <c r="F8" i="5"/>
  <c r="F52" i="5"/>
  <c r="F46" i="5"/>
  <c r="F4" i="5"/>
  <c r="H69" i="5"/>
  <c r="H103" i="5"/>
  <c r="H41" i="5"/>
  <c r="H16" i="5"/>
  <c r="H95" i="5"/>
  <c r="H6" i="5"/>
  <c r="H26" i="5"/>
  <c r="H46" i="5"/>
  <c r="H66" i="5"/>
  <c r="H98" i="5"/>
  <c r="H93" i="5"/>
  <c r="F78" i="5"/>
  <c r="F43" i="5"/>
  <c r="F3" i="5"/>
  <c r="F65" i="5"/>
  <c r="F15" i="5"/>
  <c r="F30" i="5"/>
  <c r="F57" i="5"/>
  <c r="F93" i="5"/>
  <c r="F42" i="5"/>
  <c r="F80" i="5"/>
  <c r="F92" i="5"/>
  <c r="F44" i="5"/>
  <c r="F114" i="5"/>
  <c r="E76" i="5"/>
  <c r="F108" i="5"/>
  <c r="F101" i="5"/>
  <c r="F41" i="5"/>
  <c r="I102" i="5"/>
  <c r="I26" i="5"/>
  <c r="I90" i="5"/>
  <c r="I93" i="5"/>
  <c r="I37" i="5"/>
  <c r="I78" i="5"/>
  <c r="I22" i="5"/>
  <c r="H36" i="5"/>
  <c r="G66" i="5"/>
  <c r="G14" i="5"/>
  <c r="G42" i="5"/>
  <c r="G3" i="5"/>
  <c r="G35" i="5"/>
  <c r="G83" i="5"/>
  <c r="G44" i="5"/>
  <c r="G48" i="5"/>
  <c r="G61" i="5"/>
  <c r="G88" i="5"/>
  <c r="G106" i="5"/>
  <c r="G73" i="5"/>
  <c r="G30" i="5"/>
  <c r="G98" i="5"/>
  <c r="G62" i="5"/>
  <c r="H63" i="5"/>
  <c r="H88" i="5"/>
  <c r="H35" i="5"/>
  <c r="H10" i="5"/>
  <c r="H90" i="5"/>
  <c r="H78" i="5"/>
  <c r="H17" i="5"/>
  <c r="H12" i="5"/>
  <c r="H32" i="5"/>
  <c r="H20" i="5"/>
  <c r="H85" i="5"/>
  <c r="H72" i="5"/>
  <c r="H62" i="5"/>
  <c r="H89" i="5"/>
  <c r="H87" i="5"/>
  <c r="H25" i="5"/>
  <c r="H107" i="5"/>
  <c r="H45" i="5"/>
  <c r="H55" i="5"/>
  <c r="H79" i="5"/>
  <c r="F47" i="5"/>
  <c r="F74" i="5"/>
  <c r="F103" i="5"/>
  <c r="F11" i="5"/>
  <c r="F73" i="5"/>
  <c r="F110" i="5"/>
  <c r="F104" i="5"/>
  <c r="F88" i="5"/>
  <c r="F40" i="5"/>
  <c r="F82" i="5"/>
  <c r="F84" i="5"/>
  <c r="F98" i="5"/>
  <c r="F59" i="5"/>
  <c r="H38" i="5"/>
  <c r="H58" i="5"/>
  <c r="H111" i="5"/>
  <c r="H53" i="5"/>
  <c r="H105" i="5"/>
  <c r="H31" i="5"/>
  <c r="H51" i="5"/>
  <c r="H47" i="5"/>
  <c r="H74" i="5"/>
  <c r="H64" i="5"/>
  <c r="H8" i="5"/>
  <c r="F37" i="5"/>
  <c r="F107" i="5"/>
  <c r="F54" i="5"/>
  <c r="F50" i="5"/>
  <c r="F12" i="5"/>
  <c r="F39" i="5"/>
  <c r="F23" i="5"/>
  <c r="F85" i="5"/>
  <c r="F35" i="5"/>
  <c r="F97" i="5"/>
  <c r="F31" i="5"/>
  <c r="F9" i="5"/>
  <c r="F21" i="5"/>
  <c r="F26" i="5"/>
  <c r="F55" i="5"/>
  <c r="F66" i="5"/>
  <c r="F45" i="5"/>
  <c r="F102" i="5"/>
  <c r="F32" i="5"/>
  <c r="I112" i="5"/>
  <c r="I103" i="5"/>
  <c r="I95" i="5"/>
  <c r="I110" i="5"/>
  <c r="I58" i="5"/>
  <c r="I105" i="5"/>
  <c r="I47" i="5"/>
  <c r="I41" i="5"/>
  <c r="I34" i="5"/>
  <c r="I17" i="5"/>
  <c r="H28" i="5"/>
  <c r="G97" i="5"/>
  <c r="G7" i="5"/>
  <c r="G29" i="5"/>
  <c r="G81" i="5"/>
  <c r="G90" i="5"/>
  <c r="G52" i="5"/>
  <c r="G75" i="5"/>
  <c r="G39" i="5"/>
  <c r="G94" i="5"/>
  <c r="G22" i="5"/>
  <c r="G80" i="5"/>
  <c r="G107" i="5"/>
  <c r="G36" i="5"/>
  <c r="G16" i="5"/>
  <c r="G18" i="5"/>
  <c r="H104" i="5"/>
  <c r="H82" i="5"/>
  <c r="H49" i="5"/>
  <c r="H73" i="5"/>
  <c r="H75" i="5"/>
  <c r="H27" i="5"/>
  <c r="H40" i="5"/>
  <c r="H80" i="5"/>
  <c r="H109" i="5"/>
  <c r="H56" i="5"/>
  <c r="H100" i="5"/>
  <c r="F16" i="5"/>
  <c r="F96" i="5"/>
  <c r="F33" i="5"/>
  <c r="F89" i="5"/>
  <c r="F27" i="5"/>
  <c r="F69" i="5"/>
  <c r="F75" i="5"/>
  <c r="F5" i="5"/>
  <c r="H33" i="5"/>
  <c r="H50" i="5"/>
  <c r="H86" i="5"/>
  <c r="H60" i="5"/>
  <c r="H106" i="5"/>
  <c r="H96" i="5"/>
  <c r="H57" i="5"/>
  <c r="H84" i="5"/>
  <c r="H24" i="5"/>
  <c r="F72" i="5"/>
  <c r="F71" i="5"/>
  <c r="F13" i="5"/>
  <c r="F83" i="5"/>
  <c r="F70" i="5"/>
  <c r="E11" i="5"/>
  <c r="F94" i="5"/>
  <c r="F91" i="5"/>
  <c r="F56" i="5"/>
  <c r="F64" i="5"/>
  <c r="F76" i="5"/>
  <c r="F28" i="5"/>
  <c r="F90" i="5"/>
  <c r="F109" i="5"/>
  <c r="H48" i="5"/>
  <c r="F14" i="5"/>
  <c r="F58" i="5"/>
  <c r="F20" i="5"/>
  <c r="F106" i="5"/>
  <c r="F22" i="5"/>
  <c r="I82" i="5"/>
  <c r="I25" i="5"/>
  <c r="I106" i="5"/>
  <c r="I80" i="5"/>
  <c r="I49" i="5"/>
  <c r="I30" i="5"/>
  <c r="I10" i="5"/>
  <c r="I99" i="5"/>
  <c r="I100" i="5"/>
  <c r="I53" i="5"/>
  <c r="I42" i="5"/>
  <c r="G72" i="5"/>
  <c r="G32" i="5"/>
  <c r="G114" i="5"/>
  <c r="G6" i="5"/>
  <c r="G64" i="5"/>
  <c r="G71" i="5"/>
  <c r="G104" i="5"/>
  <c r="G19" i="5"/>
  <c r="G41" i="5"/>
  <c r="G26" i="5"/>
  <c r="G65" i="5"/>
  <c r="G51" i="5"/>
  <c r="G46" i="5"/>
  <c r="H7" i="5"/>
  <c r="H43" i="5"/>
  <c r="H14" i="5"/>
  <c r="H94" i="5"/>
  <c r="H83" i="5"/>
  <c r="H21" i="5"/>
  <c r="H54" i="5"/>
  <c r="H77" i="5"/>
  <c r="H99" i="5"/>
  <c r="H37" i="5"/>
  <c r="H68" i="5"/>
  <c r="H97" i="5"/>
  <c r="H52" i="5"/>
  <c r="H76" i="5"/>
  <c r="H22" i="5"/>
  <c r="H102" i="5"/>
  <c r="H92" i="5"/>
  <c r="H112" i="5"/>
  <c r="H42" i="5"/>
  <c r="H65" i="5"/>
  <c r="E50" i="5"/>
  <c r="F67" i="5"/>
  <c r="F38" i="5"/>
  <c r="F24" i="5"/>
  <c r="F10" i="5"/>
  <c r="F111" i="5"/>
  <c r="F17" i="5"/>
  <c r="F7" i="5"/>
  <c r="H110" i="5"/>
  <c r="H108" i="5"/>
  <c r="H61" i="5"/>
  <c r="H67" i="5"/>
  <c r="H5" i="5"/>
  <c r="H81" i="5"/>
  <c r="H4" i="5"/>
  <c r="H71" i="5"/>
  <c r="H9" i="5"/>
  <c r="H91" i="5"/>
  <c r="H29" i="5"/>
  <c r="H30" i="5"/>
  <c r="H19" i="5"/>
  <c r="H39" i="5"/>
  <c r="F105" i="5"/>
  <c r="F95" i="5"/>
  <c r="F115" i="5"/>
  <c r="F48" i="5"/>
  <c r="F77" i="5"/>
  <c r="F53" i="5"/>
  <c r="F79" i="5"/>
  <c r="F87" i="5"/>
  <c r="F29" i="5"/>
  <c r="F99" i="5"/>
  <c r="F86" i="5"/>
  <c r="F36" i="5"/>
  <c r="F112" i="5"/>
  <c r="F6" i="5"/>
  <c r="F113" i="5"/>
  <c r="F18" i="5"/>
  <c r="F25" i="5"/>
  <c r="F51" i="5"/>
  <c r="F49" i="5"/>
  <c r="F61" i="5"/>
  <c r="F62" i="5"/>
  <c r="I50" i="5"/>
  <c r="I61" i="5"/>
  <c r="I83" i="5"/>
  <c r="I18" i="5"/>
  <c r="I46" i="5"/>
  <c r="I14" i="5"/>
  <c r="I87" i="5"/>
  <c r="I13" i="5"/>
  <c r="I114" i="5"/>
  <c r="I48" i="5"/>
  <c r="I66" i="5"/>
  <c r="H113" i="5"/>
  <c r="G55" i="5"/>
  <c r="G110" i="5"/>
  <c r="G33" i="5"/>
  <c r="G109" i="5"/>
  <c r="G54" i="5"/>
  <c r="G10" i="5"/>
  <c r="G25" i="5"/>
  <c r="G91" i="5"/>
  <c r="G84" i="5"/>
  <c r="G87" i="5"/>
  <c r="G99" i="5"/>
  <c r="G15" i="5"/>
  <c r="G103" i="5"/>
  <c r="G115" i="5"/>
  <c r="G68" i="5"/>
  <c r="G4" i="5"/>
  <c r="G93" i="5"/>
  <c r="H13" i="5"/>
  <c r="F2" i="5"/>
  <c r="G2" i="5"/>
  <c r="H2" i="5"/>
  <c r="E20" i="5"/>
  <c r="E72" i="5"/>
  <c r="E86" i="5"/>
  <c r="E83" i="5"/>
  <c r="E45" i="5"/>
  <c r="E77" i="5"/>
  <c r="E69" i="5"/>
  <c r="E12" i="5"/>
  <c r="E90" i="5"/>
  <c r="E108" i="5"/>
  <c r="E65" i="5"/>
  <c r="E21" i="5"/>
  <c r="E24" i="5"/>
  <c r="E85" i="5"/>
  <c r="E103" i="5"/>
  <c r="E25" i="5"/>
  <c r="E39" i="5"/>
  <c r="E79" i="5"/>
  <c r="E84" i="5"/>
  <c r="E82" i="5"/>
  <c r="E5" i="5"/>
  <c r="E99" i="5"/>
  <c r="E8" i="5"/>
  <c r="E31" i="5"/>
  <c r="E68" i="5"/>
  <c r="E16" i="5"/>
  <c r="E91" i="5"/>
  <c r="E74" i="5"/>
  <c r="E34" i="5"/>
  <c r="E26" i="5"/>
  <c r="E43" i="5"/>
  <c r="E19" i="5"/>
  <c r="E7" i="5"/>
  <c r="E32" i="5"/>
  <c r="E41" i="5"/>
  <c r="E59" i="5"/>
  <c r="E106" i="5"/>
  <c r="E22" i="5"/>
  <c r="E111" i="5"/>
  <c r="E89" i="5"/>
  <c r="E66" i="5"/>
  <c r="E112" i="5"/>
  <c r="E48" i="5"/>
  <c r="E107" i="5"/>
  <c r="E88" i="5"/>
  <c r="E37" i="5"/>
  <c r="E70" i="5"/>
  <c r="E56" i="5"/>
  <c r="E75" i="5"/>
  <c r="E64" i="5"/>
  <c r="E54" i="5"/>
  <c r="E55" i="5"/>
  <c r="E49" i="5"/>
  <c r="E18" i="5"/>
  <c r="E67" i="5"/>
  <c r="E29" i="5"/>
  <c r="E113" i="5"/>
  <c r="E78" i="5"/>
  <c r="E28" i="5"/>
  <c r="E14" i="5"/>
  <c r="E62" i="5"/>
  <c r="E102" i="5"/>
  <c r="E47" i="5"/>
  <c r="E97" i="5"/>
  <c r="E100" i="5"/>
  <c r="E94" i="5"/>
  <c r="E23" i="5"/>
  <c r="E35" i="5"/>
  <c r="E2" i="5"/>
  <c r="E44" i="5"/>
  <c r="E9" i="5"/>
  <c r="E53" i="5"/>
  <c r="E40" i="5"/>
  <c r="E98" i="5"/>
  <c r="E33" i="5"/>
  <c r="E10" i="5"/>
  <c r="E60" i="5"/>
  <c r="E109" i="5"/>
  <c r="E27" i="5"/>
  <c r="E96" i="5"/>
  <c r="E61" i="5"/>
  <c r="E92" i="5"/>
  <c r="E115" i="5"/>
  <c r="E57" i="5"/>
  <c r="E46" i="5"/>
  <c r="E3" i="5"/>
  <c r="E93" i="5"/>
  <c r="E101" i="5"/>
  <c r="E105" i="5"/>
  <c r="E110" i="5"/>
  <c r="E51" i="5"/>
  <c r="E4" i="5"/>
  <c r="E87" i="5"/>
  <c r="E15" i="5"/>
  <c r="E52" i="5"/>
  <c r="E58" i="5"/>
  <c r="E95" i="5"/>
  <c r="E38" i="5"/>
  <c r="E42" i="5"/>
  <c r="E13" i="5"/>
  <c r="E114" i="5"/>
  <c r="E63" i="5"/>
  <c r="E30" i="5"/>
  <c r="E80" i="5"/>
  <c r="L352" i="5" l="1"/>
  <c r="L307" i="5"/>
  <c r="L385" i="5"/>
  <c r="L176" i="5"/>
  <c r="L174" i="5"/>
  <c r="L169" i="5"/>
  <c r="L340" i="5"/>
  <c r="L349" i="5"/>
  <c r="L223" i="5"/>
  <c r="L371" i="5"/>
  <c r="L363" i="5"/>
  <c r="L304" i="5"/>
  <c r="L178" i="5"/>
  <c r="L374" i="5"/>
  <c r="L122" i="5"/>
  <c r="L129" i="5"/>
  <c r="L254" i="5"/>
  <c r="L326" i="5"/>
  <c r="L353" i="5"/>
  <c r="L283" i="5"/>
  <c r="L165" i="5"/>
  <c r="L422" i="5"/>
  <c r="L395" i="5"/>
  <c r="L370" i="5"/>
  <c r="L404" i="5"/>
  <c r="L294" i="5"/>
  <c r="L236" i="5"/>
  <c r="L377" i="5"/>
  <c r="L262" i="5"/>
  <c r="L373" i="5"/>
  <c r="L330" i="5"/>
  <c r="L367" i="5"/>
  <c r="L297" i="5"/>
  <c r="L268" i="5"/>
  <c r="L238" i="5"/>
  <c r="L267" i="5"/>
  <c r="L284" i="5"/>
  <c r="L365" i="5"/>
  <c r="L219" i="5"/>
  <c r="L310" i="5"/>
  <c r="L247" i="5"/>
  <c r="L171" i="5"/>
  <c r="L237" i="5"/>
  <c r="L270" i="5"/>
  <c r="L358" i="5"/>
  <c r="L198" i="5"/>
  <c r="L391" i="5"/>
  <c r="L295" i="5"/>
  <c r="L321" i="5"/>
  <c r="L368" i="5"/>
  <c r="L380" i="5"/>
  <c r="L383" i="5"/>
  <c r="L313" i="5"/>
  <c r="L147" i="5"/>
  <c r="L315" i="5"/>
  <c r="L337" i="5"/>
  <c r="L131" i="5"/>
  <c r="L148" i="5"/>
  <c r="L280" i="5"/>
  <c r="L227" i="5"/>
  <c r="L328" i="5"/>
  <c r="L388" i="5"/>
  <c r="L221" i="5"/>
  <c r="L162" i="5"/>
  <c r="L386" i="5"/>
  <c r="L271" i="5"/>
  <c r="L260" i="5"/>
  <c r="L273" i="5"/>
  <c r="L231" i="5"/>
  <c r="L319" i="5"/>
  <c r="L232" i="5"/>
  <c r="L302" i="5"/>
  <c r="L151" i="5"/>
  <c r="L124" i="5"/>
  <c r="L333" i="5"/>
  <c r="L214" i="5"/>
  <c r="L251" i="5"/>
  <c r="L137" i="5"/>
  <c r="L346" i="5"/>
  <c r="L287" i="5"/>
  <c r="L351" i="5"/>
  <c r="L334" i="5"/>
  <c r="L275" i="5"/>
  <c r="L327" i="5"/>
  <c r="L323" i="5"/>
  <c r="L299" i="5"/>
  <c r="L257" i="5"/>
  <c r="L276" i="5"/>
  <c r="L281" i="5"/>
  <c r="L387" i="5"/>
  <c r="L301" i="5"/>
  <c r="L338" i="5"/>
  <c r="L226" i="5"/>
  <c r="L266" i="5"/>
  <c r="L170" i="5"/>
  <c r="L350" i="5"/>
  <c r="L318" i="5"/>
  <c r="L314" i="5"/>
  <c r="L289" i="5"/>
  <c r="L125" i="5"/>
  <c r="L193" i="5"/>
  <c r="L195" i="5"/>
  <c r="L81" i="5"/>
  <c r="L342" i="5"/>
  <c r="L252" i="5"/>
  <c r="L154" i="5"/>
  <c r="L76" i="5"/>
  <c r="L73" i="5"/>
  <c r="L104" i="5"/>
  <c r="L36" i="5"/>
  <c r="L11" i="5"/>
  <c r="L71" i="5"/>
  <c r="L17" i="5"/>
  <c r="L80" i="5"/>
  <c r="L51" i="5"/>
  <c r="L98" i="5"/>
  <c r="L97" i="5"/>
  <c r="L47" i="5"/>
  <c r="L102" i="5"/>
  <c r="L28" i="5"/>
  <c r="L29" i="5"/>
  <c r="L67" i="5"/>
  <c r="L49" i="5"/>
  <c r="L64" i="5"/>
  <c r="L26" i="5"/>
  <c r="L8" i="5"/>
  <c r="L5" i="5"/>
  <c r="L84" i="5"/>
  <c r="L39" i="5"/>
  <c r="L103" i="5"/>
  <c r="L85" i="5"/>
  <c r="L13" i="5"/>
  <c r="L52" i="5"/>
  <c r="L57" i="5"/>
  <c r="L92" i="5"/>
  <c r="L27" i="5"/>
  <c r="L33" i="5"/>
  <c r="L40" i="5"/>
  <c r="L53" i="5"/>
  <c r="L9" i="5"/>
  <c r="L2" i="5"/>
  <c r="L35" i="5"/>
  <c r="L23" i="5"/>
  <c r="L100" i="5"/>
  <c r="L56" i="5"/>
  <c r="L70" i="5"/>
  <c r="L107" i="5"/>
  <c r="L89" i="5"/>
  <c r="L41" i="5"/>
  <c r="L32" i="5"/>
  <c r="L16" i="5"/>
  <c r="L24" i="5"/>
  <c r="L90" i="5"/>
  <c r="L12" i="5"/>
  <c r="L45" i="5"/>
  <c r="L83" i="5"/>
  <c r="L20" i="5"/>
  <c r="L105" i="5"/>
  <c r="L93" i="5"/>
  <c r="L3" i="5"/>
  <c r="L10" i="5"/>
  <c r="L78" i="5"/>
  <c r="L113" i="5"/>
  <c r="L55" i="5"/>
  <c r="L75" i="5"/>
  <c r="L22" i="5"/>
  <c r="L34" i="5"/>
  <c r="L31" i="5"/>
  <c r="L99" i="5"/>
  <c r="L82" i="5"/>
  <c r="L79" i="5"/>
  <c r="L63" i="5"/>
  <c r="L38" i="5"/>
  <c r="L114" i="5"/>
  <c r="L95" i="5"/>
  <c r="L101" i="5"/>
  <c r="L30" i="5"/>
  <c r="L42" i="5"/>
  <c r="L58" i="5"/>
  <c r="L46" i="5"/>
  <c r="L115" i="5"/>
  <c r="L61" i="5"/>
  <c r="L96" i="5"/>
  <c r="L60" i="5"/>
  <c r="L44" i="5"/>
  <c r="L94" i="5"/>
  <c r="L62" i="5"/>
  <c r="L37" i="5"/>
  <c r="L88" i="5"/>
  <c r="L48" i="5"/>
  <c r="L112" i="5"/>
  <c r="L111" i="5"/>
  <c r="L106" i="5"/>
  <c r="L59" i="5"/>
  <c r="L7" i="5"/>
  <c r="L19" i="5"/>
  <c r="L43" i="5"/>
  <c r="L74" i="5"/>
  <c r="L91" i="5"/>
  <c r="L68" i="5"/>
  <c r="L21" i="5"/>
  <c r="L65" i="5"/>
  <c r="L108" i="5"/>
  <c r="L69" i="5"/>
  <c r="L77" i="5"/>
  <c r="L86" i="5"/>
  <c r="L72" i="5"/>
  <c r="L15" i="5"/>
  <c r="L87" i="5"/>
  <c r="L4" i="5"/>
  <c r="L25" i="5"/>
  <c r="L109" i="5"/>
  <c r="L110" i="5"/>
  <c r="L54" i="5"/>
  <c r="L6" i="5"/>
  <c r="L66" i="5"/>
  <c r="L18" i="5"/>
  <c r="L14" i="5"/>
  <c r="L50" i="5"/>
</calcChain>
</file>

<file path=xl/sharedStrings.xml><?xml version="1.0" encoding="utf-8"?>
<sst xmlns="http://schemas.openxmlformats.org/spreadsheetml/2006/main" count="1791" uniqueCount="927">
  <si>
    <t>Kommunenavn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</si>
  <si>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</si>
  <si>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</si>
  <si>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</si>
  <si>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</si>
  <si>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</si>
  <si>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</si>
  <si>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</si>
  <si>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</si>
  <si>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</si>
  <si>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</si>
  <si>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</si>
  <si>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</si>
  <si>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</si>
  <si>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</si>
  <si>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</si>
  <si>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</si>
  <si>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</si>
  <si>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</si>
  <si>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</si>
  <si>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</si>
  <si>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</si>
  <si>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</si>
  <si>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</si>
  <si>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</si>
  <si>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</si>
  <si>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</si>
  <si>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</si>
  <si>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</si>
  <si>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</si>
  <si>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</si>
  <si>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</si>
  <si>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</si>
  <si>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</si>
  <si>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</si>
  <si>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</si>
  <si>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</si>
  <si>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</si>
  <si>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</si>
  <si>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</si>
  <si>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</si>
  <si>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</si>
  <si>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</si>
  <si>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</si>
  <si>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</si>
  <si>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</si>
  <si>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</si>
  <si>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</si>
  <si>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</si>
  <si>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</si>
  <si>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</si>
  <si>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</si>
  <si>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</si>
  <si>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</si>
  <si>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</si>
  <si>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</si>
  <si>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</si>
  <si>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</si>
  <si>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</si>
  <si>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</si>
  <si>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</si>
  <si>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</si>
  <si>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</si>
  <si>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</si>
  <si>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</si>
  <si>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</si>
  <si>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</si>
  <si>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</si>
  <si>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</si>
  <si>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</si>
  <si>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</si>
  <si>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</si>
  <si>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</si>
  <si>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</si>
  <si>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</si>
  <si>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</si>
  <si>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</si>
  <si>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</si>
  <si>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</si>
  <si>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</si>
  <si>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</si>
  <si>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</si>
  <si>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</si>
  <si>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</si>
  <si>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</si>
  <si>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</si>
  <si>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</si>
  <si>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</si>
  <si>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</si>
  <si>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</si>
  <si>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</si>
  <si>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</si>
  <si>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</si>
  <si>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</si>
  <si>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</si>
  <si>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</si>
  <si>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</si>
  <si>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</si>
  <si>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</si>
  <si>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</si>
  <si>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</si>
  <si>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</si>
  <si>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</si>
  <si>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</si>
  <si>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</si>
  <si>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</si>
  <si>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</si>
  <si>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</si>
  <si>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</si>
  <si>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</si>
  <si>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</si>
  <si>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</si>
  <si>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0704 Tønsberg</t>
  </si>
  <si>
    <t>0711 Svelvik</t>
  </si>
  <si>
    <t>0713 Sande</t>
  </si>
  <si>
    <t>0716 Re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</si>
  <si>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</si>
  <si>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</si>
  <si>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</si>
  <si>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</si>
  <si>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</si>
  <si>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</si>
  <si>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</si>
  <si>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</si>
  <si>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</si>
  <si>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</si>
  <si>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</si>
  <si>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</si>
  <si>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</si>
  <si>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</si>
  <si>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</si>
  <si>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</si>
  <si>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</si>
  <si>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</si>
  <si>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</si>
  <si>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</si>
  <si>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</si>
  <si>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</si>
  <si>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</si>
  <si>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</si>
  <si>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</si>
  <si>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</si>
  <si>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</si>
  <si>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</si>
  <si>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</si>
  <si>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</si>
  <si>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</si>
  <si>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</si>
  <si>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</si>
  <si>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</si>
  <si>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</si>
  <si>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</si>
  <si>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</si>
  <si>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</si>
  <si>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</si>
  <si>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</si>
  <si>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</si>
  <si>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</si>
  <si>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</si>
  <si>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</si>
  <si>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</si>
  <si>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</si>
  <si>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</si>
  <si>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</si>
  <si>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</si>
  <si>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</si>
  <si>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</si>
  <si>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</si>
  <si>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</si>
  <si>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</si>
  <si>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</si>
  <si>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</si>
  <si>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</si>
  <si>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</si>
  <si>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</si>
  <si>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</si>
  <si>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</si>
  <si>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</si>
  <si>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</si>
  <si>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</si>
  <si>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</si>
  <si>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</si>
  <si>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</si>
  <si>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</si>
  <si>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</si>
  <si>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</si>
  <si>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</si>
  <si>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</si>
  <si>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</si>
  <si>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</si>
  <si>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</si>
  <si>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</si>
  <si>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</si>
  <si>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</si>
  <si>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</si>
  <si>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</si>
  <si>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</si>
  <si>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</si>
  <si>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</si>
  <si>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</si>
  <si>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</si>
  <si>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</si>
  <si>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</si>
  <si>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</si>
  <si>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</si>
  <si>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</si>
  <si>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</si>
  <si>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</si>
  <si>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</si>
  <si>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</si>
  <si>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</si>
  <si>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</si>
  <si>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</si>
  <si>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</si>
  <si>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</si>
  <si>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</si>
  <si>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</si>
  <si>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</si>
  <si>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</si>
  <si>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</si>
  <si>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</si>
  <si>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</si>
  <si>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</si>
  <si>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</si>
  <si>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</si>
  <si>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</si>
  <si>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</si>
  <si>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</si>
  <si>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</si>
  <si>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</si>
  <si>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</si>
  <si>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</si>
  <si>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</si>
  <si>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</si>
  <si>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</si>
  <si>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</si>
  <si>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</si>
  <si>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</si>
  <si>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</si>
  <si>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</si>
  <si>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</si>
  <si>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</si>
  <si>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</si>
  <si>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</si>
  <si>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</si>
  <si>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</si>
  <si>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</si>
  <si>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</si>
  <si>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</si>
  <si>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</si>
  <si>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</si>
  <si>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</si>
  <si>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</si>
  <si>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</si>
  <si>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</si>
  <si>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</si>
  <si>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</si>
  <si>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</si>
  <si>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</si>
  <si>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</si>
  <si>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</si>
  <si>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</si>
  <si>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</si>
  <si>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</si>
  <si>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</si>
  <si>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</si>
  <si>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</si>
  <si>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</si>
  <si>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</si>
  <si>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</si>
  <si>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</si>
  <si>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</si>
  <si>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</si>
  <si>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</si>
  <si>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</si>
  <si>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</si>
  <si>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</si>
  <si>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</si>
  <si>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</si>
  <si>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</si>
  <si>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</si>
  <si>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</si>
  <si>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</si>
  <si>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</si>
  <si>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</si>
  <si>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</si>
  <si>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</si>
  <si>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</si>
  <si>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</si>
  <si>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</si>
  <si>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</si>
  <si>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</si>
  <si>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</si>
  <si>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</si>
  <si>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</si>
  <si>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</si>
  <si>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</si>
  <si>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</si>
  <si>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</si>
  <si>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</si>
  <si>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</si>
  <si>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</si>
  <si>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</si>
  <si>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</si>
  <si>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</si>
  <si>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</si>
  <si>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</si>
  <si>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</si>
  <si>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</si>
  <si>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</si>
  <si>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</si>
  <si>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</si>
  <si>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</si>
  <si>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</si>
  <si>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</si>
  <si>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</si>
  <si>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</si>
  <si>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</si>
  <si>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</si>
  <si>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</si>
  <si>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</si>
  <si>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</si>
  <si>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</si>
  <si>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</si>
  <si>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</si>
  <si>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</si>
  <si>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</si>
  <si>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</si>
  <si>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</si>
  <si>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</si>
  <si>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1903 Harstad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</si>
  <si>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</si>
  <si>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</si>
  <si>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</si>
  <si>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</si>
  <si>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</si>
  <si>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</si>
  <si>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</si>
  <si>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</si>
  <si>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</si>
  <si>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</si>
  <si>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</si>
  <si>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</si>
  <si>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</si>
  <si>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</si>
  <si>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</si>
  <si>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</si>
  <si>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</si>
  <si>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</si>
  <si>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Gaivuotna -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</si>
  <si>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</si>
  <si>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</si>
  <si>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</si>
  <si>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</si>
  <si>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</si>
  <si>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</si>
  <si>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Guovdageaidnu -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</si>
  <si>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</si>
  <si>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</si>
  <si>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</si>
  <si>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</si>
  <si>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</si>
  <si>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</si>
  <si>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</si>
  <si>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Karasjohka - Karasjok</t>
  </si>
  <si>
    <t>2022 Lebesby</t>
  </si>
  <si>
    <t>2023 Gamvik</t>
  </si>
  <si>
    <t>2024 Berlevåg</t>
  </si>
  <si>
    <t>2025 Deatnu - Tana</t>
  </si>
  <si>
    <t>2027 Unjarga - Nesseby</t>
  </si>
  <si>
    <t>2028 Båtsfjord</t>
  </si>
  <si>
    <t>2030 Sør-Varanger</t>
  </si>
  <si>
    <t>I</t>
  </si>
  <si>
    <t>NR</t>
  </si>
  <si>
    <t>Hva</t>
  </si>
  <si>
    <t>Totalareal</t>
  </si>
  <si>
    <t>Tabell 03068:     Hovudpostar frå likninga for busette personar 17 år og over, etter kjønn (kr). (K)</t>
  </si>
  <si>
    <t>ReisetidOslo</t>
  </si>
  <si>
    <t>NIBR 11</t>
  </si>
  <si>
    <t>Koding</t>
  </si>
  <si>
    <t>K</t>
  </si>
  <si>
    <t>Kommune</t>
  </si>
  <si>
    <t>Vektingssett</t>
  </si>
  <si>
    <t>Reisetid</t>
  </si>
  <si>
    <t>Inntekt</t>
  </si>
  <si>
    <t>Sum vekt</t>
  </si>
  <si>
    <t>Geografi</t>
  </si>
  <si>
    <t>beftettotal</t>
  </si>
  <si>
    <t>Beftetthettotal</t>
  </si>
  <si>
    <t>Befvekst10</t>
  </si>
  <si>
    <t>Kvinneandel</t>
  </si>
  <si>
    <t>Eldreandel</t>
  </si>
  <si>
    <t>Sysselsettingsvekst10</t>
  </si>
  <si>
    <t>Yrkesaktivandel</t>
  </si>
  <si>
    <t>Demografi</t>
  </si>
  <si>
    <t>Arbeidsmarked</t>
  </si>
  <si>
    <t>Levekår</t>
  </si>
  <si>
    <t>Emneområde</t>
  </si>
  <si>
    <t>Faktiske verdier</t>
  </si>
  <si>
    <t>Trunkerte verdier</t>
  </si>
  <si>
    <t>befvekst10</t>
  </si>
  <si>
    <t>Syssvekst10</t>
  </si>
  <si>
    <t>Yrkesaktiveandel</t>
  </si>
  <si>
    <t>Persentil 0,1</t>
  </si>
  <si>
    <t>Persentil 0,9</t>
  </si>
  <si>
    <t>Maks</t>
  </si>
  <si>
    <t>Min</t>
  </si>
  <si>
    <t>Snitt</t>
  </si>
  <si>
    <t>Indekserte (og trunkerte) verdier</t>
  </si>
  <si>
    <t>Distriktsindeksen</t>
  </si>
  <si>
    <t>ReisetidOslo-T</t>
  </si>
  <si>
    <t>Befvekst10-T</t>
  </si>
  <si>
    <t>Kvinneandel-T</t>
  </si>
  <si>
    <t>Eldreandel-T</t>
  </si>
  <si>
    <t>Sysselsettingsvekst10-T</t>
  </si>
  <si>
    <t>Yrkesaktivandel-T</t>
  </si>
  <si>
    <t>Inntekt-T</t>
  </si>
  <si>
    <t>ReisetidOslo-I</t>
  </si>
  <si>
    <t>Befvekst10-I</t>
  </si>
  <si>
    <t>Kvinneandel-I</t>
  </si>
  <si>
    <t>Eldreandel-I</t>
  </si>
  <si>
    <t>Sysselsettingsvekst10-I</t>
  </si>
  <si>
    <t>Yrkesaktivandel-I</t>
  </si>
  <si>
    <t>Inntekt-I</t>
  </si>
  <si>
    <t>Bredde</t>
  </si>
  <si>
    <t>Kvinneandel måles som andelen kvinner i aldersgruppen 20-39 år i forhold til alle innbyggere.</t>
  </si>
  <si>
    <t>T</t>
  </si>
  <si>
    <t>Trunkert variabel</t>
  </si>
  <si>
    <t>Indeksert variabel</t>
  </si>
  <si>
    <t>V</t>
  </si>
  <si>
    <t>Vektet variabeltall som grunnlag for oppsummering for distriktsindeksen</t>
  </si>
  <si>
    <t>Beftettotal-I</t>
  </si>
  <si>
    <t>Beftettotal</t>
  </si>
  <si>
    <t>Beftettotal-T</t>
  </si>
  <si>
    <t>NIBR11</t>
  </si>
  <si>
    <t>NIBR11-T</t>
  </si>
  <si>
    <t>NIBR11-I</t>
  </si>
  <si>
    <t>Eldre67+-O</t>
  </si>
  <si>
    <t>Kvinner20-39-O</t>
  </si>
  <si>
    <t>Folk20-64-O</t>
  </si>
  <si>
    <t>ReisetidOslo-O</t>
  </si>
  <si>
    <t>NIBR11Gammel-V</t>
  </si>
  <si>
    <t>ReisetidOslo-V</t>
  </si>
  <si>
    <t>Beftetttotal</t>
  </si>
  <si>
    <t>Befvekst10-V</t>
  </si>
  <si>
    <t>Kvinneandel-V</t>
  </si>
  <si>
    <t>Eldreandel-V</t>
  </si>
  <si>
    <t>Sysselsettingsvekst10-V</t>
  </si>
  <si>
    <t>Yrkesaktivandel-V</t>
  </si>
  <si>
    <t>Inntekt-V</t>
  </si>
  <si>
    <t>Distriktsindeks</t>
  </si>
  <si>
    <t xml:space="preserve">Halden       </t>
  </si>
  <si>
    <t xml:space="preserve">Moss         </t>
  </si>
  <si>
    <t xml:space="preserve">Sarpsborg    </t>
  </si>
  <si>
    <t xml:space="preserve">Fredrikstad  </t>
  </si>
  <si>
    <t xml:space="preserve">Hvaler       </t>
  </si>
  <si>
    <t xml:space="preserve">Aremark      </t>
  </si>
  <si>
    <t xml:space="preserve">Marker       </t>
  </si>
  <si>
    <t xml:space="preserve">Rømskog      </t>
  </si>
  <si>
    <t xml:space="preserve">Trøgstad     </t>
  </si>
  <si>
    <t xml:space="preserve">Spydeberg    </t>
  </si>
  <si>
    <t xml:space="preserve">Askim        </t>
  </si>
  <si>
    <t xml:space="preserve">Eidsberg     </t>
  </si>
  <si>
    <t xml:space="preserve">Skiptvet     </t>
  </si>
  <si>
    <t xml:space="preserve">Rakkestad    </t>
  </si>
  <si>
    <t xml:space="preserve">Råde         </t>
  </si>
  <si>
    <t xml:space="preserve">Rygge        </t>
  </si>
  <si>
    <t xml:space="preserve">Våler        </t>
  </si>
  <si>
    <t xml:space="preserve">Hobøl        </t>
  </si>
  <si>
    <t xml:space="preserve">Vestby       </t>
  </si>
  <si>
    <t xml:space="preserve">Ski          </t>
  </si>
  <si>
    <t xml:space="preserve">Ås           </t>
  </si>
  <si>
    <t xml:space="preserve">Frogn        </t>
  </si>
  <si>
    <t xml:space="preserve">Nesodden     </t>
  </si>
  <si>
    <t xml:space="preserve">Oppegård     </t>
  </si>
  <si>
    <t xml:space="preserve">Bærum        </t>
  </si>
  <si>
    <t xml:space="preserve">Asker        </t>
  </si>
  <si>
    <t>Aurskog-Hølan</t>
  </si>
  <si>
    <t xml:space="preserve">Sørum        </t>
  </si>
  <si>
    <t xml:space="preserve">Fet          </t>
  </si>
  <si>
    <t xml:space="preserve">Rælingen     </t>
  </si>
  <si>
    <t xml:space="preserve">Enebakk      </t>
  </si>
  <si>
    <t xml:space="preserve">Lørenskog    </t>
  </si>
  <si>
    <t xml:space="preserve">Skedsmo      </t>
  </si>
  <si>
    <t xml:space="preserve">Nittedal     </t>
  </si>
  <si>
    <t xml:space="preserve">Gjerdrum     </t>
  </si>
  <si>
    <t xml:space="preserve">Ullensaker   </t>
  </si>
  <si>
    <t xml:space="preserve">Nes          </t>
  </si>
  <si>
    <t xml:space="preserve">Eidsvoll     </t>
  </si>
  <si>
    <t xml:space="preserve">Nannestad    </t>
  </si>
  <si>
    <t xml:space="preserve">Hurdal       </t>
  </si>
  <si>
    <t xml:space="preserve">Oslo         </t>
  </si>
  <si>
    <t xml:space="preserve">Kongsvinger  </t>
  </si>
  <si>
    <t xml:space="preserve">Hamar        </t>
  </si>
  <si>
    <t xml:space="preserve">Ringsaker    </t>
  </si>
  <si>
    <t xml:space="preserve">Løten        </t>
  </si>
  <si>
    <t xml:space="preserve">Stange       </t>
  </si>
  <si>
    <t xml:space="preserve">Nord-Odal    </t>
  </si>
  <si>
    <t xml:space="preserve">Sør-Odal     </t>
  </si>
  <si>
    <t xml:space="preserve">Eidskog      </t>
  </si>
  <si>
    <t xml:space="preserve">Grue         </t>
  </si>
  <si>
    <t xml:space="preserve">Åsnes        </t>
  </si>
  <si>
    <t xml:space="preserve">Elverum      </t>
  </si>
  <si>
    <t xml:space="preserve">Trysil       </t>
  </si>
  <si>
    <t xml:space="preserve">Åmot         </t>
  </si>
  <si>
    <t xml:space="preserve">Stor-Elvdal  </t>
  </si>
  <si>
    <t xml:space="preserve">Rendalen     </t>
  </si>
  <si>
    <t xml:space="preserve">Engerdal     </t>
  </si>
  <si>
    <t xml:space="preserve">Tolga        </t>
  </si>
  <si>
    <t xml:space="preserve">Tynset       </t>
  </si>
  <si>
    <t xml:space="preserve">Alvdal       </t>
  </si>
  <si>
    <t xml:space="preserve">Folldal      </t>
  </si>
  <si>
    <t xml:space="preserve">Os           </t>
  </si>
  <si>
    <t xml:space="preserve">Lillehammer  </t>
  </si>
  <si>
    <t xml:space="preserve">Gjøvik       </t>
  </si>
  <si>
    <t xml:space="preserve">Dovre        </t>
  </si>
  <si>
    <t xml:space="preserve">Lesja        </t>
  </si>
  <si>
    <t xml:space="preserve">Skjåk        </t>
  </si>
  <si>
    <t xml:space="preserve">Lom          </t>
  </si>
  <si>
    <t xml:space="preserve">Vågå         </t>
  </si>
  <si>
    <t xml:space="preserve">Nord-Fron    </t>
  </si>
  <si>
    <t xml:space="preserve">Sel          </t>
  </si>
  <si>
    <t xml:space="preserve">Sør-Fron     </t>
  </si>
  <si>
    <t xml:space="preserve">Ringebu      </t>
  </si>
  <si>
    <t xml:space="preserve">Øyer         </t>
  </si>
  <si>
    <t xml:space="preserve">Gausdal      </t>
  </si>
  <si>
    <t xml:space="preserve">Østre Toten  </t>
  </si>
  <si>
    <t xml:space="preserve">Vestre Toten </t>
  </si>
  <si>
    <t xml:space="preserve">Jevnaker     </t>
  </si>
  <si>
    <t xml:space="preserve">Lunner       </t>
  </si>
  <si>
    <t xml:space="preserve">Gran         </t>
  </si>
  <si>
    <t xml:space="preserve">Søndre Land  </t>
  </si>
  <si>
    <t xml:space="preserve">Nordre Land  </t>
  </si>
  <si>
    <t xml:space="preserve">Sør-Aurdal   </t>
  </si>
  <si>
    <t xml:space="preserve">Etnedal      </t>
  </si>
  <si>
    <t xml:space="preserve">Nord-Aurdal  </t>
  </si>
  <si>
    <t>Vestre Slidre</t>
  </si>
  <si>
    <t>Øystre Slidre</t>
  </si>
  <si>
    <t xml:space="preserve">Vang         </t>
  </si>
  <si>
    <t xml:space="preserve">Drammen      </t>
  </si>
  <si>
    <t xml:space="preserve">Kongsberg    </t>
  </si>
  <si>
    <t xml:space="preserve">Ringerike    </t>
  </si>
  <si>
    <t xml:space="preserve">Hole         </t>
  </si>
  <si>
    <t xml:space="preserve">Flå          </t>
  </si>
  <si>
    <t xml:space="preserve">Gol          </t>
  </si>
  <si>
    <t xml:space="preserve">Hemsedal     </t>
  </si>
  <si>
    <t xml:space="preserve">Ål           </t>
  </si>
  <si>
    <t xml:space="preserve">Hol          </t>
  </si>
  <si>
    <t xml:space="preserve">Sigdal       </t>
  </si>
  <si>
    <t xml:space="preserve">Krødsherad   </t>
  </si>
  <si>
    <t xml:space="preserve">Modum        </t>
  </si>
  <si>
    <t xml:space="preserve">Øvre Eiker   </t>
  </si>
  <si>
    <t xml:space="preserve">Nedre Eiker  </t>
  </si>
  <si>
    <t xml:space="preserve">Lier         </t>
  </si>
  <si>
    <t xml:space="preserve">Røyken       </t>
  </si>
  <si>
    <t xml:space="preserve">Hurum        </t>
  </si>
  <si>
    <t xml:space="preserve">Flesberg     </t>
  </si>
  <si>
    <t xml:space="preserve">Rollag       </t>
  </si>
  <si>
    <t>Nore og Uvdal</t>
  </si>
  <si>
    <t xml:space="preserve">Borre        </t>
  </si>
  <si>
    <t xml:space="preserve">Holmestrand  </t>
  </si>
  <si>
    <t xml:space="preserve">Tønsberg     </t>
  </si>
  <si>
    <t xml:space="preserve">Larvik       </t>
  </si>
  <si>
    <t xml:space="preserve">Svelvik      </t>
  </si>
  <si>
    <t xml:space="preserve">Sande        </t>
  </si>
  <si>
    <t xml:space="preserve">Hof          </t>
  </si>
  <si>
    <t>Re</t>
  </si>
  <si>
    <t xml:space="preserve">Nøtterøy     </t>
  </si>
  <si>
    <t xml:space="preserve">Tjøme        </t>
  </si>
  <si>
    <t xml:space="preserve">Lardal       </t>
  </si>
  <si>
    <t xml:space="preserve">Porsgrunn    </t>
  </si>
  <si>
    <t xml:space="preserve">Skien        </t>
  </si>
  <si>
    <t xml:space="preserve">Notodden     </t>
  </si>
  <si>
    <t xml:space="preserve">Siljan       </t>
  </si>
  <si>
    <t xml:space="preserve">Bamble       </t>
  </si>
  <si>
    <t xml:space="preserve">Kragerø      </t>
  </si>
  <si>
    <t xml:space="preserve">Drangedal    </t>
  </si>
  <si>
    <t xml:space="preserve">Nome         </t>
  </si>
  <si>
    <t xml:space="preserve">Bø           </t>
  </si>
  <si>
    <t xml:space="preserve">Sauherad     </t>
  </si>
  <si>
    <t xml:space="preserve">Tinn         </t>
  </si>
  <si>
    <t xml:space="preserve">Hjartdal     </t>
  </si>
  <si>
    <t xml:space="preserve">Seljord      </t>
  </si>
  <si>
    <t xml:space="preserve">Kviteseid    </t>
  </si>
  <si>
    <t xml:space="preserve">Nissedal     </t>
  </si>
  <si>
    <t xml:space="preserve">Fyresdal     </t>
  </si>
  <si>
    <t xml:space="preserve">Tokke        </t>
  </si>
  <si>
    <t xml:space="preserve">Vinje        </t>
  </si>
  <si>
    <t xml:space="preserve">Risør        </t>
  </si>
  <si>
    <t xml:space="preserve">Grimstad     </t>
  </si>
  <si>
    <t xml:space="preserve">Arendal      </t>
  </si>
  <si>
    <t xml:space="preserve">Gjerstad     </t>
  </si>
  <si>
    <t xml:space="preserve">Vegårshei    </t>
  </si>
  <si>
    <t xml:space="preserve">Tvedestrand  </t>
  </si>
  <si>
    <t xml:space="preserve">Froland      </t>
  </si>
  <si>
    <t xml:space="preserve">Lillesand    </t>
  </si>
  <si>
    <t xml:space="preserve">Birkenes     </t>
  </si>
  <si>
    <t xml:space="preserve">Åmli         </t>
  </si>
  <si>
    <t xml:space="preserve">Iveland      </t>
  </si>
  <si>
    <t>Evje og Hornn</t>
  </si>
  <si>
    <t xml:space="preserve">Bygland      </t>
  </si>
  <si>
    <t xml:space="preserve">Valle        </t>
  </si>
  <si>
    <t xml:space="preserve">Bykle        </t>
  </si>
  <si>
    <t xml:space="preserve">Kristiansand </t>
  </si>
  <si>
    <t xml:space="preserve">Mandal       </t>
  </si>
  <si>
    <t xml:space="preserve">Farsund      </t>
  </si>
  <si>
    <t xml:space="preserve">Flekkefjord  </t>
  </si>
  <si>
    <t xml:space="preserve">Vennesla     </t>
  </si>
  <si>
    <t xml:space="preserve">Songdalen    </t>
  </si>
  <si>
    <t xml:space="preserve">Søgne        </t>
  </si>
  <si>
    <t xml:space="preserve">Marnardal    </t>
  </si>
  <si>
    <t xml:space="preserve">Åseral       </t>
  </si>
  <si>
    <t xml:space="preserve">Audnedal     </t>
  </si>
  <si>
    <t xml:space="preserve">Lindesnes    </t>
  </si>
  <si>
    <t xml:space="preserve">Lyngdal      </t>
  </si>
  <si>
    <t xml:space="preserve">Hægebostad   </t>
  </si>
  <si>
    <t xml:space="preserve">Kvinesdal    </t>
  </si>
  <si>
    <t xml:space="preserve">Sirdal       </t>
  </si>
  <si>
    <t xml:space="preserve">Eigersund    </t>
  </si>
  <si>
    <t xml:space="preserve">Sandnes      </t>
  </si>
  <si>
    <t xml:space="preserve">Stavanger    </t>
  </si>
  <si>
    <t xml:space="preserve">Haugesund    </t>
  </si>
  <si>
    <t xml:space="preserve">Sokndal      </t>
  </si>
  <si>
    <t xml:space="preserve">Lund         </t>
  </si>
  <si>
    <t xml:space="preserve">Bjerkreim    </t>
  </si>
  <si>
    <t xml:space="preserve">Hå           </t>
  </si>
  <si>
    <t xml:space="preserve">Klepp        </t>
  </si>
  <si>
    <t xml:space="preserve">Time         </t>
  </si>
  <si>
    <t xml:space="preserve">Gjesdal      </t>
  </si>
  <si>
    <t xml:space="preserve">Sola         </t>
  </si>
  <si>
    <t xml:space="preserve">Randaberg    </t>
  </si>
  <si>
    <t xml:space="preserve">Forsand      </t>
  </si>
  <si>
    <t xml:space="preserve">Strand       </t>
  </si>
  <si>
    <t xml:space="preserve">Hjelmeland   </t>
  </si>
  <si>
    <t xml:space="preserve">Suldal       </t>
  </si>
  <si>
    <t xml:space="preserve">Sauda        </t>
  </si>
  <si>
    <t xml:space="preserve">Finnøy       </t>
  </si>
  <si>
    <t xml:space="preserve">Rennesøy     </t>
  </si>
  <si>
    <t xml:space="preserve">Kvitsøy      </t>
  </si>
  <si>
    <t xml:space="preserve">Bokn         </t>
  </si>
  <si>
    <t xml:space="preserve">Tysvær       </t>
  </si>
  <si>
    <t xml:space="preserve">Karmøy       </t>
  </si>
  <si>
    <t xml:space="preserve">Utsira       </t>
  </si>
  <si>
    <t xml:space="preserve">Vindafjord   </t>
  </si>
  <si>
    <t xml:space="preserve">Bergen       </t>
  </si>
  <si>
    <t xml:space="preserve">Etne         </t>
  </si>
  <si>
    <t xml:space="preserve">Sveio        </t>
  </si>
  <si>
    <t xml:space="preserve">Bømlo        </t>
  </si>
  <si>
    <t xml:space="preserve">Stord        </t>
  </si>
  <si>
    <t xml:space="preserve">Fitjar       </t>
  </si>
  <si>
    <t xml:space="preserve">Tysnes       </t>
  </si>
  <si>
    <t xml:space="preserve">Kvinnherad   </t>
  </si>
  <si>
    <t xml:space="preserve">Jondal       </t>
  </si>
  <si>
    <t xml:space="preserve">Odda         </t>
  </si>
  <si>
    <t xml:space="preserve">Ullensvang   </t>
  </si>
  <si>
    <t xml:space="preserve">Eidfjord     </t>
  </si>
  <si>
    <t xml:space="preserve">Ulvik        </t>
  </si>
  <si>
    <t xml:space="preserve">Granvin      </t>
  </si>
  <si>
    <t xml:space="preserve">Voss         </t>
  </si>
  <si>
    <t xml:space="preserve">Kvam         </t>
  </si>
  <si>
    <t xml:space="preserve">Fusa         </t>
  </si>
  <si>
    <t xml:space="preserve">Samnanger    </t>
  </si>
  <si>
    <t xml:space="preserve">Austevoll    </t>
  </si>
  <si>
    <t xml:space="preserve">Sund         </t>
  </si>
  <si>
    <t xml:space="preserve">Fjell        </t>
  </si>
  <si>
    <t xml:space="preserve">Askøy        </t>
  </si>
  <si>
    <t xml:space="preserve">Vaksdal      </t>
  </si>
  <si>
    <t xml:space="preserve">Modalen      </t>
  </si>
  <si>
    <t xml:space="preserve">Osterøy      </t>
  </si>
  <si>
    <t xml:space="preserve">Meland       </t>
  </si>
  <si>
    <t xml:space="preserve">Øygarden     </t>
  </si>
  <si>
    <t xml:space="preserve">Radøy        </t>
  </si>
  <si>
    <t xml:space="preserve">Lindås       </t>
  </si>
  <si>
    <t xml:space="preserve">Austrheim    </t>
  </si>
  <si>
    <t xml:space="preserve">Fedje        </t>
  </si>
  <si>
    <t xml:space="preserve">Masfjorden   </t>
  </si>
  <si>
    <t xml:space="preserve">Flora        </t>
  </si>
  <si>
    <t xml:space="preserve">Gulen        </t>
  </si>
  <si>
    <t xml:space="preserve">Solund       </t>
  </si>
  <si>
    <t xml:space="preserve">Hyllestad    </t>
  </si>
  <si>
    <t xml:space="preserve">Høyanger     </t>
  </si>
  <si>
    <t xml:space="preserve">Vik          </t>
  </si>
  <si>
    <t xml:space="preserve">Balestrand   </t>
  </si>
  <si>
    <t xml:space="preserve">Leikanger    </t>
  </si>
  <si>
    <t xml:space="preserve">Sogndal      </t>
  </si>
  <si>
    <t xml:space="preserve">Aurland      </t>
  </si>
  <si>
    <t xml:space="preserve">Lærdal       </t>
  </si>
  <si>
    <t xml:space="preserve">Årdal        </t>
  </si>
  <si>
    <t xml:space="preserve">Luster       </t>
  </si>
  <si>
    <t xml:space="preserve">Askvoll      </t>
  </si>
  <si>
    <t xml:space="preserve">Fjaler       </t>
  </si>
  <si>
    <t xml:space="preserve">Gaular       </t>
  </si>
  <si>
    <t xml:space="preserve">Jølster      </t>
  </si>
  <si>
    <t xml:space="preserve">Førde        </t>
  </si>
  <si>
    <t xml:space="preserve">Naustdal     </t>
  </si>
  <si>
    <t xml:space="preserve">Bremanger    </t>
  </si>
  <si>
    <t xml:space="preserve">Vågsøy       </t>
  </si>
  <si>
    <t xml:space="preserve">Selje        </t>
  </si>
  <si>
    <t xml:space="preserve">Eid          </t>
  </si>
  <si>
    <t xml:space="preserve">Hornindal    </t>
  </si>
  <si>
    <t xml:space="preserve">Gloppen      </t>
  </si>
  <si>
    <t xml:space="preserve">Stryn        </t>
  </si>
  <si>
    <t xml:space="preserve">Molde        </t>
  </si>
  <si>
    <t xml:space="preserve">Ålesund      </t>
  </si>
  <si>
    <t xml:space="preserve">Kristiansund </t>
  </si>
  <si>
    <t xml:space="preserve">Vanylven     </t>
  </si>
  <si>
    <t xml:space="preserve">Herøy        </t>
  </si>
  <si>
    <t xml:space="preserve">Ulstein      </t>
  </si>
  <si>
    <t xml:space="preserve">Hareid       </t>
  </si>
  <si>
    <t xml:space="preserve">Volda        </t>
  </si>
  <si>
    <t xml:space="preserve">Ørsta        </t>
  </si>
  <si>
    <t xml:space="preserve">Ørskog       </t>
  </si>
  <si>
    <t xml:space="preserve">Norddal      </t>
  </si>
  <si>
    <t xml:space="preserve">Stranda      </t>
  </si>
  <si>
    <t xml:space="preserve">Stordal      </t>
  </si>
  <si>
    <t xml:space="preserve">Sykkylven    </t>
  </si>
  <si>
    <t xml:space="preserve">Skodje       </t>
  </si>
  <si>
    <t xml:space="preserve">Sula         </t>
  </si>
  <si>
    <t xml:space="preserve">Giske        </t>
  </si>
  <si>
    <t xml:space="preserve">Haram        </t>
  </si>
  <si>
    <t xml:space="preserve">Vestnes      </t>
  </si>
  <si>
    <t xml:space="preserve">Rauma        </t>
  </si>
  <si>
    <t xml:space="preserve">Nesset       </t>
  </si>
  <si>
    <t xml:space="preserve">Midsund      </t>
  </si>
  <si>
    <t xml:space="preserve">Sandøy       </t>
  </si>
  <si>
    <t xml:space="preserve">Aukra        </t>
  </si>
  <si>
    <t xml:space="preserve">Fræna        </t>
  </si>
  <si>
    <t xml:space="preserve">Eide         </t>
  </si>
  <si>
    <t xml:space="preserve">Averøy       </t>
  </si>
  <si>
    <t xml:space="preserve">Gjemnes      </t>
  </si>
  <si>
    <t xml:space="preserve">Tingvoll     </t>
  </si>
  <si>
    <t xml:space="preserve">Sunndal      </t>
  </si>
  <si>
    <t xml:space="preserve">Surnadal     </t>
  </si>
  <si>
    <t xml:space="preserve">Rindal       </t>
  </si>
  <si>
    <t xml:space="preserve">Halsa        </t>
  </si>
  <si>
    <t xml:space="preserve">Smøla        </t>
  </si>
  <si>
    <t xml:space="preserve">Aure         </t>
  </si>
  <si>
    <t xml:space="preserve">Trondheim    </t>
  </si>
  <si>
    <t xml:space="preserve">Hemne        </t>
  </si>
  <si>
    <t xml:space="preserve">Snillfjord   </t>
  </si>
  <si>
    <t xml:space="preserve">Hitra        </t>
  </si>
  <si>
    <t xml:space="preserve">Frøya        </t>
  </si>
  <si>
    <t xml:space="preserve">Ørland       </t>
  </si>
  <si>
    <t xml:space="preserve">Agdenes      </t>
  </si>
  <si>
    <t xml:space="preserve">Rissa        </t>
  </si>
  <si>
    <t xml:space="preserve">Bjugn        </t>
  </si>
  <si>
    <t xml:space="preserve">Åfjord       </t>
  </si>
  <si>
    <t xml:space="preserve">Roan         </t>
  </si>
  <si>
    <t xml:space="preserve">Osen         </t>
  </si>
  <si>
    <t xml:space="preserve">Oppdal       </t>
  </si>
  <si>
    <t xml:space="preserve">Rennebu      </t>
  </si>
  <si>
    <t xml:space="preserve">Meldal       </t>
  </si>
  <si>
    <t xml:space="preserve">Orkdal       </t>
  </si>
  <si>
    <t xml:space="preserve">Røros        </t>
  </si>
  <si>
    <t xml:space="preserve">Holtålen     </t>
  </si>
  <si>
    <t>Midtre Gaulda</t>
  </si>
  <si>
    <t xml:space="preserve">Melhus       </t>
  </si>
  <si>
    <t xml:space="preserve">Skaun        </t>
  </si>
  <si>
    <t xml:space="preserve">Klæbu        </t>
  </si>
  <si>
    <t xml:space="preserve">Malvik       </t>
  </si>
  <si>
    <t xml:space="preserve">Selbu        </t>
  </si>
  <si>
    <t xml:space="preserve">Tydal        </t>
  </si>
  <si>
    <t xml:space="preserve">Steinkjer    </t>
  </si>
  <si>
    <t xml:space="preserve">Namsos       </t>
  </si>
  <si>
    <t xml:space="preserve">Meråker      </t>
  </si>
  <si>
    <t xml:space="preserve">Stjørdal     </t>
  </si>
  <si>
    <t xml:space="preserve">Frosta       </t>
  </si>
  <si>
    <t xml:space="preserve">Leksvik      </t>
  </si>
  <si>
    <t xml:space="preserve">Levanger     </t>
  </si>
  <si>
    <t xml:space="preserve">Verdal       </t>
  </si>
  <si>
    <t xml:space="preserve">Verran       </t>
  </si>
  <si>
    <t xml:space="preserve">Namdalseid   </t>
  </si>
  <si>
    <t xml:space="preserve">Snåsa        </t>
  </si>
  <si>
    <t xml:space="preserve">Lierne       </t>
  </si>
  <si>
    <t xml:space="preserve">Røyrvik      </t>
  </si>
  <si>
    <t xml:space="preserve">Namsskogan   </t>
  </si>
  <si>
    <t xml:space="preserve">Grong        </t>
  </si>
  <si>
    <t xml:space="preserve">Høylandet    </t>
  </si>
  <si>
    <t xml:space="preserve">Overhalla    </t>
  </si>
  <si>
    <t xml:space="preserve">Fosnes       </t>
  </si>
  <si>
    <t xml:space="preserve">Flatanger    </t>
  </si>
  <si>
    <t xml:space="preserve">Vikna        </t>
  </si>
  <si>
    <t xml:space="preserve">Nærøy        </t>
  </si>
  <si>
    <t xml:space="preserve">Leka         </t>
  </si>
  <si>
    <t xml:space="preserve">Inderøy      </t>
  </si>
  <si>
    <t xml:space="preserve">Bodø         </t>
  </si>
  <si>
    <t xml:space="preserve">Narvik       </t>
  </si>
  <si>
    <t xml:space="preserve">Bindal       </t>
  </si>
  <si>
    <t xml:space="preserve">Sømna        </t>
  </si>
  <si>
    <t xml:space="preserve">Brønnøy      </t>
  </si>
  <si>
    <t xml:space="preserve">Vega         </t>
  </si>
  <si>
    <t xml:space="preserve">Vevelstad    </t>
  </si>
  <si>
    <t xml:space="preserve">Alstahaug    </t>
  </si>
  <si>
    <t xml:space="preserve">Leirfjord    </t>
  </si>
  <si>
    <t xml:space="preserve">Vefsn        </t>
  </si>
  <si>
    <t xml:space="preserve">Grane        </t>
  </si>
  <si>
    <t xml:space="preserve">Hattfjelldal </t>
  </si>
  <si>
    <t xml:space="preserve">Dønna        </t>
  </si>
  <si>
    <t xml:space="preserve">Nesna        </t>
  </si>
  <si>
    <t xml:space="preserve">Hemnes       </t>
  </si>
  <si>
    <t xml:space="preserve">Rana         </t>
  </si>
  <si>
    <t xml:space="preserve">Lurøy        </t>
  </si>
  <si>
    <t xml:space="preserve">Træna        </t>
  </si>
  <si>
    <t xml:space="preserve">Rødøy        </t>
  </si>
  <si>
    <t xml:space="preserve">Meløy        </t>
  </si>
  <si>
    <t xml:space="preserve">Gildeskål    </t>
  </si>
  <si>
    <t xml:space="preserve">Beiarn       </t>
  </si>
  <si>
    <t xml:space="preserve">Saltdal      </t>
  </si>
  <si>
    <t xml:space="preserve">Fauske       </t>
  </si>
  <si>
    <t xml:space="preserve">Sørfold      </t>
  </si>
  <si>
    <t xml:space="preserve">Steigen      </t>
  </si>
  <si>
    <t xml:space="preserve">Hamarøy      </t>
  </si>
  <si>
    <t xml:space="preserve">Tysfjord     </t>
  </si>
  <si>
    <t xml:space="preserve">Lødingen     </t>
  </si>
  <si>
    <t xml:space="preserve">Tjeldsund    </t>
  </si>
  <si>
    <t xml:space="preserve">Evenes       </t>
  </si>
  <si>
    <t xml:space="preserve">Ballangen    </t>
  </si>
  <si>
    <t xml:space="preserve">Røst         </t>
  </si>
  <si>
    <t xml:space="preserve">Værøy        </t>
  </si>
  <si>
    <t xml:space="preserve">Flakstad     </t>
  </si>
  <si>
    <t xml:space="preserve">Vestvågøy    </t>
  </si>
  <si>
    <t xml:space="preserve">Vågan        </t>
  </si>
  <si>
    <t xml:space="preserve">Hadsel       </t>
  </si>
  <si>
    <t xml:space="preserve">Øksnes       </t>
  </si>
  <si>
    <t xml:space="preserve">Sortland     </t>
  </si>
  <si>
    <t xml:space="preserve">Andøy        </t>
  </si>
  <si>
    <t xml:space="preserve">Moskenes     </t>
  </si>
  <si>
    <t xml:space="preserve">Tromsø       </t>
  </si>
  <si>
    <t xml:space="preserve">Harstad      </t>
  </si>
  <si>
    <t xml:space="preserve">Kvæfjord     </t>
  </si>
  <si>
    <t xml:space="preserve">Skånland     </t>
  </si>
  <si>
    <t xml:space="preserve">Ibestad      </t>
  </si>
  <si>
    <t xml:space="preserve">Gratangen    </t>
  </si>
  <si>
    <t xml:space="preserve">Lavangen     </t>
  </si>
  <si>
    <t xml:space="preserve">Bardu        </t>
  </si>
  <si>
    <t xml:space="preserve">Salangen     </t>
  </si>
  <si>
    <t xml:space="preserve">Målselv      </t>
  </si>
  <si>
    <t xml:space="preserve">Sørreisa     </t>
  </si>
  <si>
    <t xml:space="preserve">Dyrøy        </t>
  </si>
  <si>
    <t xml:space="preserve">Tranøy       </t>
  </si>
  <si>
    <t xml:space="preserve">Torsken      </t>
  </si>
  <si>
    <t xml:space="preserve">Berg         </t>
  </si>
  <si>
    <t xml:space="preserve">Lenvik       </t>
  </si>
  <si>
    <t xml:space="preserve">Balsfjord    </t>
  </si>
  <si>
    <t xml:space="preserve">Karlsøy      </t>
  </si>
  <si>
    <t xml:space="preserve">Lyngen       </t>
  </si>
  <si>
    <t xml:space="preserve">Storfjord    </t>
  </si>
  <si>
    <t xml:space="preserve">Kåfjord      </t>
  </si>
  <si>
    <t xml:space="preserve">Skjervøy     </t>
  </si>
  <si>
    <t xml:space="preserve">Nordreisa    </t>
  </si>
  <si>
    <t xml:space="preserve">Kvænangen    </t>
  </si>
  <si>
    <t xml:space="preserve">Vardø        </t>
  </si>
  <si>
    <t xml:space="preserve">Vadsø        </t>
  </si>
  <si>
    <t xml:space="preserve">Hammerfest   </t>
  </si>
  <si>
    <t xml:space="preserve">Kautokeino   </t>
  </si>
  <si>
    <t xml:space="preserve">Alta         </t>
  </si>
  <si>
    <t xml:space="preserve">Loppa        </t>
  </si>
  <si>
    <t xml:space="preserve">Hasvik       </t>
  </si>
  <si>
    <t xml:space="preserve">Kvalsund     </t>
  </si>
  <si>
    <t xml:space="preserve">Måsøy        </t>
  </si>
  <si>
    <t xml:space="preserve">Nordkapp     </t>
  </si>
  <si>
    <t xml:space="preserve">Porsanger    </t>
  </si>
  <si>
    <t xml:space="preserve">Karasjok     </t>
  </si>
  <si>
    <t xml:space="preserve">Lebesby      </t>
  </si>
  <si>
    <t xml:space="preserve">Gamvik       </t>
  </si>
  <si>
    <t xml:space="preserve">Berlevåg     </t>
  </si>
  <si>
    <t>B07-O</t>
  </si>
  <si>
    <t>0710 Sandefjord</t>
  </si>
  <si>
    <t>B17-O</t>
  </si>
  <si>
    <t>Y16-O</t>
  </si>
  <si>
    <t>S06-O</t>
  </si>
  <si>
    <t>S16-O</t>
  </si>
  <si>
    <t>Bruttoinntekt2015-O</t>
  </si>
  <si>
    <t>Totalareal2017-O</t>
  </si>
  <si>
    <t>0712 Larvik</t>
  </si>
  <si>
    <t>0715 Holmestrand</t>
  </si>
  <si>
    <t>0729 Færder</t>
  </si>
  <si>
    <t>5001 Trondheim</t>
  </si>
  <si>
    <t>5004 Steinkjer</t>
  </si>
  <si>
    <t>5005 Namsos</t>
  </si>
  <si>
    <t>5011 Hemne</t>
  </si>
  <si>
    <t>5012 Snillfjord</t>
  </si>
  <si>
    <t>5013 Hitra</t>
  </si>
  <si>
    <t>5014 Frøya</t>
  </si>
  <si>
    <t>5015 Ørland</t>
  </si>
  <si>
    <t>5016 Agdenes</t>
  </si>
  <si>
    <t>5017 Bjugn</t>
  </si>
  <si>
    <t>5018 Åfjord</t>
  </si>
  <si>
    <t>5019 Roan</t>
  </si>
  <si>
    <t>5020 Osen</t>
  </si>
  <si>
    <t>5021 Oppdal</t>
  </si>
  <si>
    <t>5022 Rennebu</t>
  </si>
  <si>
    <t>5023 Meldal</t>
  </si>
  <si>
    <t>5024 Orkdal</t>
  </si>
  <si>
    <t>5025 Røros</t>
  </si>
  <si>
    <t>5026 Holtålen</t>
  </si>
  <si>
    <t>5027 Midtre Gauldal</t>
  </si>
  <si>
    <t>5028 Melhus</t>
  </si>
  <si>
    <t>5029 Skaun</t>
  </si>
  <si>
    <t>5030 Klæbu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</si>
  <si>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</si>
  <si>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</si>
  <si>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</si>
  <si>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</si>
  <si>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</si>
  <si>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</si>
  <si>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</si>
  <si>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</si>
  <si>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5039 Verran</t>
  </si>
  <si>
    <t>5040 Namdalseid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</si>
  <si>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</si>
  <si>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</si>
  <si>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</si>
  <si>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</si>
  <si>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</si>
  <si>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</si>
  <si>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</si>
  <si>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5048 Fosnes</t>
  </si>
  <si>
    <t>5049 Flatanger</t>
  </si>
  <si>
    <t>5050 Vikna</t>
  </si>
  <si>
    <t>5051 Nærøy</t>
  </si>
  <si>
    <t>5052 Leka</t>
  </si>
  <si>
    <t>5053 Inderøy</t>
  </si>
  <si>
    <t>5054 Indre Fosen</t>
  </si>
  <si>
    <t>K-Løpenummer</t>
  </si>
  <si>
    <t>NIBR10 - sentralitetsindeksen for kommuner - fin (11 klasser)</t>
  </si>
  <si>
    <t>DI2017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</si>
</sst>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_ * #,##0_ ;_ * \-#,##0_ ;_ * &quot;-&quot;??_ ;_ @_ "/>
    <numFmt numFmtId="167" formatCode="_ * #,##0.000000000_ ;_ * \-#,##0.000000000_ ;_ * &quot;-&quot;??_ ;_ @_ "/>
    <numFmt numFmtId="168" formatCode="0.0000"/>
    <numFmt numFmtId="169" formatCode="0.000000000"/>
    <numFmt numFmtId="170" formatCode="_ * #,##0.0000000_ ;_ * \-#,##0.0000000_ ;_ * &quot;-&quot;??_ ;_ @_ "/>
    <numFmt numFmtId="171" formatCode="_ * #,##0.0_ ;_ * \-#,##0.0_ ;_ * &quot;-&quot;?_ ;_ @_ "/>
    <numFmt numFmtId="172" formatCode="_ * #,##0.000000000_ ;_ * \-#,##0.000000000_ ;_ * &quot;-&quot;???????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9" fillId="0" borderId="0"/>
    <xf numFmtId="0" fontId="10" fillId="0" borderId="0" applyNumberFormat="0" applyBorder="0" applyAlignment="0"/>
  </cellStyleXfs>
  <cellXfs count="72">
    <xf numFmtId="0" fontId="0" fillId="0" borderId="0" xfId="0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/>
    <xf numFmtId="0" fontId="0" fillId="0" borderId="0" xfId="0" applyFill="1"/>
    <xf numFmtId="0" fontId="2" fillId="0" borderId="0" xfId="0" applyFont="1"/>
    <xf numFmtId="0" fontId="6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0" fillId="0" borderId="0" xfId="0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1" xfId="1" applyBorder="1" applyAlignment="1" applyProtection="1">
      <alignment wrapText="1"/>
    </xf>
    <xf numFmtId="1" fontId="0" fillId="0" borderId="0" xfId="0" applyNumberFormat="1"/>
    <xf numFmtId="0" fontId="0" fillId="0" borderId="0" xfId="0" applyAlignment="1" applyProtection="1">
      <alignment horizontal="left"/>
      <protection locked="0"/>
    </xf>
    <xf numFmtId="0" fontId="0" fillId="2" borderId="0" xfId="0" applyFill="1"/>
    <xf numFmtId="0" fontId="0" fillId="3" borderId="0" xfId="0" applyFill="1"/>
    <xf numFmtId="0" fontId="0" fillId="0" borderId="5" xfId="0" applyBorder="1"/>
    <xf numFmtId="0" fontId="0" fillId="0" borderId="6" xfId="0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0" xfId="0" applyNumberFormat="1"/>
    <xf numFmtId="165" fontId="0" fillId="2" borderId="0" xfId="2" applyNumberFormat="1" applyFont="1" applyFill="1"/>
    <xf numFmtId="2" fontId="0" fillId="2" borderId="0" xfId="0" applyNumberFormat="1" applyFill="1"/>
    <xf numFmtId="166" fontId="0" fillId="2" borderId="0" xfId="2" applyNumberFormat="1" applyFont="1" applyFill="1"/>
    <xf numFmtId="164" fontId="0" fillId="2" borderId="0" xfId="0" applyNumberFormat="1" applyFill="1"/>
    <xf numFmtId="0" fontId="0" fillId="0" borderId="6" xfId="0" applyFill="1" applyBorder="1"/>
    <xf numFmtId="167" fontId="0" fillId="2" borderId="0" xfId="2" applyNumberFormat="1" applyFont="1" applyFill="1"/>
    <xf numFmtId="0" fontId="0" fillId="0" borderId="7" xfId="0" applyFill="1" applyBorder="1"/>
    <xf numFmtId="166" fontId="0" fillId="0" borderId="0" xfId="2" applyNumberFormat="1" applyFont="1" applyFill="1"/>
    <xf numFmtId="0" fontId="8" fillId="0" borderId="0" xfId="0" applyFont="1" applyFill="1" applyAlignment="1">
      <alignment horizontal="left"/>
    </xf>
    <xf numFmtId="0" fontId="0" fillId="0" borderId="0" xfId="0" applyFont="1" applyFill="1"/>
    <xf numFmtId="0" fontId="2" fillId="0" borderId="6" xfId="0" applyFont="1" applyFill="1" applyBorder="1"/>
    <xf numFmtId="164" fontId="0" fillId="0" borderId="0" xfId="0" applyNumberFormat="1"/>
    <xf numFmtId="0" fontId="0" fillId="0" borderId="0" xfId="0" applyFill="1" applyProtection="1"/>
    <xf numFmtId="2" fontId="0" fillId="0" borderId="0" xfId="0" applyNumberFormat="1"/>
    <xf numFmtId="168" fontId="0" fillId="0" borderId="0" xfId="0" applyNumberFormat="1"/>
    <xf numFmtId="0" fontId="9" fillId="0" borderId="0" xfId="3"/>
    <xf numFmtId="0" fontId="9" fillId="0" borderId="0" xfId="3"/>
    <xf numFmtId="0" fontId="9" fillId="0" borderId="0" xfId="3"/>
    <xf numFmtId="0" fontId="9" fillId="0" borderId="0" xfId="3"/>
    <xf numFmtId="0" fontId="10" fillId="0" borderId="0" xfId="4" applyFill="1" applyProtection="1"/>
    <xf numFmtId="1" fontId="5" fillId="0" borderId="0" xfId="0" applyNumberFormat="1" applyFont="1" applyFill="1"/>
    <xf numFmtId="0" fontId="0" fillId="2" borderId="0" xfId="0" applyFill="1" applyProtection="1"/>
    <xf numFmtId="0" fontId="12" fillId="0" borderId="0" xfId="0" applyFont="1" applyFill="1" applyAlignment="1"/>
    <xf numFmtId="0" fontId="13" fillId="0" borderId="0" xfId="3" applyFont="1" applyFill="1" applyAlignment="1" applyProtection="1">
      <alignment wrapText="1"/>
    </xf>
    <xf numFmtId="0" fontId="13" fillId="0" borderId="0" xfId="0" applyFont="1" applyFill="1" applyAlignment="1" applyProtection="1">
      <alignment wrapText="1"/>
    </xf>
    <xf numFmtId="0" fontId="13" fillId="0" borderId="0" xfId="3" applyFont="1" applyAlignment="1">
      <alignment wrapText="1"/>
    </xf>
    <xf numFmtId="0" fontId="13" fillId="0" borderId="0" xfId="0" applyFont="1" applyAlignment="1">
      <alignment wrapText="1"/>
    </xf>
    <xf numFmtId="0" fontId="10" fillId="0" borderId="0" xfId="4" applyFill="1" applyAlignment="1" applyProtection="1">
      <alignment horizontal="right"/>
    </xf>
    <xf numFmtId="169" fontId="0" fillId="0" borderId="0" xfId="0" applyNumberFormat="1"/>
    <xf numFmtId="170" fontId="0" fillId="2" borderId="0" xfId="2" applyNumberFormat="1" applyFont="1" applyFill="1"/>
    <xf numFmtId="171" fontId="0" fillId="2" borderId="0" xfId="0" applyNumberFormat="1" applyFill="1"/>
    <xf numFmtId="172" fontId="0" fillId="2" borderId="0" xfId="0" applyNumberFormat="1" applyFill="1"/>
    <xf numFmtId="169" fontId="0" fillId="2" borderId="0" xfId="0" applyNumberFormat="1" applyFill="1"/>
    <xf numFmtId="0" fontId="14" fillId="0" borderId="0" xfId="0" applyFont="1" applyFill="1" applyAlignment="1"/>
    <xf numFmtId="0" fontId="15" fillId="0" borderId="0" xfId="3" applyFont="1" applyFill="1" applyAlignment="1" applyProtection="1">
      <alignment wrapText="1"/>
    </xf>
    <xf numFmtId="0" fontId="14" fillId="0" borderId="0" xfId="0" applyFont="1" applyFill="1"/>
    <xf numFmtId="0" fontId="2" fillId="3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9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0" fillId="0" borderId="0" xfId="0" applyFill="1" applyBorder="1"/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center" wrapText="1"/>
    </xf>
    <xf numFmtId="164" fontId="0" fillId="0" borderId="0" xfId="0" applyNumberFormat="1" applyFill="1" applyBorder="1"/>
    <xf numFmtId="1" fontId="0" fillId="0" borderId="0" xfId="0" applyNumberFormat="1" applyFill="1" applyBorder="1"/>
    <xf numFmtId="0" fontId="11" fillId="0" borderId="0" xfId="0" applyFont="1" applyFill="1" applyBorder="1"/>
    <xf numFmtId="0" fontId="3" fillId="0" borderId="0" xfId="0" applyFont="1" applyFill="1" applyBorder="1" applyAlignment="1"/>
    <xf numFmtId="166" fontId="0" fillId="0" borderId="0" xfId="2" applyNumberFormat="1" applyFont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5">
    <cellStyle name="Hyperkobling" xfId="1" builtinId="8"/>
    <cellStyle name="Komma" xfId="2" builtinId="3"/>
    <cellStyle name="Normal" xfId="0" builtinId="0"/>
    <cellStyle name="Normal 2" xfId="3"/>
    <cellStyle name="Normal 3" xfId="4"/>
  </cellStyles>
  <dxfs count="6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" formatCode="0"/>
      <fill>
        <patternFill patternType="none">
          <fgColor indexed="64"/>
          <bgColor indexed="65"/>
        </patternFill>
      </fill>
    </dxf>
    <dxf>
      <numFmt numFmtId="1" formatCode="0"/>
      <fill>
        <patternFill patternType="none">
          <fgColor indexed="64"/>
          <bgColor indexed="65"/>
        </patternFill>
      </fill>
    </dxf>
    <dxf>
      <numFmt numFmtId="1" formatCode="0"/>
      <fill>
        <patternFill patternType="none">
          <fgColor indexed="64"/>
          <bgColor indexed="65"/>
        </patternFill>
      </fill>
    </dxf>
    <dxf>
      <numFmt numFmtId="1" formatCode="0"/>
      <fill>
        <patternFill patternType="none">
          <fgColor indexed="64"/>
          <bgColor indexed="65"/>
        </patternFill>
      </fill>
    </dxf>
    <dxf>
      <numFmt numFmtId="1" formatCode="0"/>
      <fill>
        <patternFill patternType="none">
          <fgColor indexed="64"/>
          <bgColor indexed="65"/>
        </patternFill>
      </fill>
    </dxf>
    <dxf>
      <numFmt numFmtId="1" formatCode="0"/>
      <fill>
        <patternFill patternType="none">
          <fgColor indexed="64"/>
          <bgColor indexed="65"/>
        </patternFill>
      </fill>
    </dxf>
    <dxf>
      <numFmt numFmtId="1" formatCode="0"/>
      <fill>
        <patternFill patternType="none">
          <fgColor indexed="64"/>
          <bgColor indexed="65"/>
        </patternFill>
      </fill>
    </dxf>
    <dxf>
      <numFmt numFmtId="1" formatCode="0"/>
      <fill>
        <patternFill patternType="none">
          <fgColor indexed="64"/>
          <bgColor indexed="65"/>
        </patternFill>
      </fill>
    </dxf>
    <dxf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numFmt numFmtId="164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6" formatCode="_ * #,##0_ ;_ * \-#,##0_ ;_ * &quot;-&quot;??_ ;_ @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0" formatCode="General"/>
    </dxf>
    <dxf>
      <numFmt numFmtId="166" formatCode="_ * #,##0_ ;_ * \-#,##0_ ;_ * &quot;-&quot;??_ ;_ @_ 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z val="10"/>
      </font>
      <numFmt numFmtId="1" formatCode="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protection locked="1" hidden="0"/>
    </dxf>
    <dxf>
      <alignment horizontal="right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relativeIndent="0" justifyLastLine="0" shrinkToFit="0" readingOrder="0"/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Rådatakommune" displayName="Rådatakommune" ref="A1:T423" totalsRowShown="0" headerRowDxfId="64">
  <autoFilter ref="A1:T423"/>
  <sortState ref="A2:T423">
    <sortCondition ref="B1:B423"/>
  </sortState>
  <tableColumns count="20">
    <tableColumn id="1" name="Kommunenavn" dataDxfId="63"/>
    <tableColumn id="2" name="K-Løpenummer" dataDxfId="62"/>
    <tableColumn id="6" name="B07-O" dataDxfId="61"/>
    <tableColumn id="7" name="B17-O" dataDxfId="60"/>
    <tableColumn id="11" name="Y16-O" dataDxfId="59"/>
    <tableColumn id="12" name="Eldre67+-O" dataDxfId="58"/>
    <tableColumn id="13" name="Kvinner20-39-O" dataDxfId="57"/>
    <tableColumn id="15" name="Folk20-64-O" dataDxfId="56"/>
    <tableColumn id="16" name="S06-O" dataDxfId="55"/>
    <tableColumn id="17" name="S16-O" dataDxfId="54"/>
    <tableColumn id="19" name="Totalareal2017-O" dataDxfId="53"/>
    <tableColumn id="20" name="Bruttoinntekt2015-O" dataDxfId="52"/>
    <tableColumn id="21" name="ReisetidOslo-O" dataDxfId="51"/>
    <tableColumn id="22" name="NIBR11" dataDxfId="50"/>
    <tableColumn id="24" name="beftettotal" dataDxfId="49">
      <calculatedColumnFormula>Rådatakommune[[#This Row],[B17-O]]/Rådatakommune[[#This Row],[Totalareal2017-O]]</calculatedColumnFormula>
    </tableColumn>
    <tableColumn id="25" name="befvekst10" dataDxfId="48">
      <calculatedColumnFormula>Rådatakommune[[#This Row],[B17-O]]/Rådatakommune[[#This Row],[B07-O]]-1</calculatedColumnFormula>
    </tableColumn>
    <tableColumn id="26" name="Kvinneandel" dataDxfId="47">
      <calculatedColumnFormula>Rådatakommune[[#This Row],[Kvinner20-39-O]]/Rådatakommune[[#This Row],[B17-O]]</calculatedColumnFormula>
    </tableColumn>
    <tableColumn id="27" name="Eldreandel" dataDxfId="46">
      <calculatedColumnFormula>Rådatakommune[[#This Row],[Eldre67+-O]]/Rådatakommune[[#This Row],[B17-O]]</calculatedColumnFormula>
    </tableColumn>
    <tableColumn id="28" name="Syssvekst10" dataDxfId="45">
      <calculatedColumnFormula>Rådatakommune[[#This Row],[S16-O]]/Rådatakommune[[#This Row],[S06-O]]-1</calculatedColumnFormula>
    </tableColumn>
    <tableColumn id="29" name="Yrkesaktiveandel" dataDxfId="44">
      <calculatedColumnFormula>Rådatakommune[[#This Row],[Y16-O]]/Rådatakommune[[#This Row],[Folk20-64-O]]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ell2" displayName="Tabell2" ref="A2:AD424" totalsRowShown="0" headerRowDxfId="43">
  <autoFilter ref="A2:AD424"/>
  <sortState ref="A3:AE424">
    <sortCondition ref="B2:B424"/>
  </sortState>
  <tableColumns count="30">
    <tableColumn id="1" name="Kommunenavn" dataDxfId="42"/>
    <tableColumn id="4" name="K-Løpenummer" dataDxfId="41"/>
    <tableColumn id="2" name="NIBR11">
      <calculatedColumnFormula>'Rådata-K'!N2</calculatedColumnFormula>
    </tableColumn>
    <tableColumn id="3" name="ReisetidOslo" dataDxfId="40">
      <calculatedColumnFormula>'Rådata-K'!M2</calculatedColumnFormula>
    </tableColumn>
    <tableColumn id="33" name="Beftettotal" dataDxfId="39">
      <calculatedColumnFormula>'Rådata-K'!O2</calculatedColumnFormula>
    </tableColumn>
    <tableColumn id="5" name="Befvekst10" dataDxfId="38">
      <calculatedColumnFormula>'Rådata-K'!P2</calculatedColumnFormula>
    </tableColumn>
    <tableColumn id="6" name="Kvinneandel" dataDxfId="37">
      <calculatedColumnFormula>'Rådata-K'!Q2</calculatedColumnFormula>
    </tableColumn>
    <tableColumn id="7" name="Eldreandel" dataDxfId="36">
      <calculatedColumnFormula>'Rådata-K'!R2</calculatedColumnFormula>
    </tableColumn>
    <tableColumn id="8" name="Sysselsettingsvekst10" dataDxfId="35">
      <calculatedColumnFormula>'Rådata-K'!S2</calculatedColumnFormula>
    </tableColumn>
    <tableColumn id="9" name="Yrkesaktivandel" dataDxfId="34">
      <calculatedColumnFormula>'Rådata-K'!T2</calculatedColumnFormula>
    </tableColumn>
    <tableColumn id="10" name="Inntekt" dataDxfId="33" dataCellStyle="Komma">
      <calculatedColumnFormula>'Rådata-K'!L2</calculatedColumnFormula>
    </tableColumn>
    <tableColumn id="11" name="NIBR11-T" dataDxfId="32">
      <calculatedColumnFormula>Tabell2[[#This Row],[NIBR11]]</calculatedColumnFormula>
    </tableColumn>
    <tableColumn id="12" name="ReisetidOslo-T" dataDxfId="31">
      <calculatedColumnFormula>IF(Tabell2[[#This Row],[ReisetidOslo]]&lt;=D$427,D$427,IF(Tabell2[[#This Row],[ReisetidOslo]]&gt;=D$428,D$428,Tabell2[[#This Row],[ReisetidOslo]]))</calculatedColumnFormula>
    </tableColumn>
    <tableColumn id="32" name="Beftettotal-T" dataDxfId="30">
      <calculatedColumnFormula>IF(Tabell2[[#This Row],[Beftettotal]]&lt;=E$427,E$427,IF(Tabell2[[#This Row],[Beftettotal]]&gt;=E$428,E$428,Tabell2[[#This Row],[Beftettotal]]))</calculatedColumnFormula>
    </tableColumn>
    <tableColumn id="14" name="Befvekst10-T" dataDxfId="29">
      <calculatedColumnFormula>IF(Tabell2[[#This Row],[Befvekst10]]&lt;=F$427,F$427,IF(Tabell2[[#This Row],[Befvekst10]]&gt;=F$428,F$428,Tabell2[[#This Row],[Befvekst10]]))</calculatedColumnFormula>
    </tableColumn>
    <tableColumn id="15" name="Kvinneandel-T" dataDxfId="28">
      <calculatedColumnFormula>IF(Tabell2[[#This Row],[Kvinneandel]]&lt;=G$427,G$427,IF(Tabell2[[#This Row],[Kvinneandel]]&gt;=G$428,G$428,Tabell2[[#This Row],[Kvinneandel]]))</calculatedColumnFormula>
    </tableColumn>
    <tableColumn id="16" name="Eldreandel-T" dataDxfId="27">
      <calculatedColumnFormula>IF(Tabell2[[#This Row],[Eldreandel]]&lt;=H$427,H$427,IF(Tabell2[[#This Row],[Eldreandel]]&gt;=H$428,H$428,Tabell2[[#This Row],[Eldreandel]]))</calculatedColumnFormula>
    </tableColumn>
    <tableColumn id="17" name="Sysselsettingsvekst10-T" dataDxfId="26">
      <calculatedColumnFormula>IF(Tabell2[[#This Row],[Sysselsettingsvekst10]]&lt;=I$427,I$427,IF(Tabell2[[#This Row],[Sysselsettingsvekst10]]&gt;=I$428,I$428,Tabell2[[#This Row],[Sysselsettingsvekst10]]))</calculatedColumnFormula>
    </tableColumn>
    <tableColumn id="18" name="Yrkesaktivandel-T" dataDxfId="25">
      <calculatedColumnFormula>IF(Tabell2[[#This Row],[Yrkesaktivandel]]&lt;=J$427,J$427,IF(Tabell2[[#This Row],[Yrkesaktivandel]]&gt;=J$428,J$428,Tabell2[[#This Row],[Yrkesaktivandel]]))</calculatedColumnFormula>
    </tableColumn>
    <tableColumn id="19" name="Inntekt-T" dataDxfId="24" dataCellStyle="Komma">
      <calculatedColumnFormula>IF(Tabell2[[#This Row],[Inntekt]]&lt;=K$427,K$427,IF(Tabell2[[#This Row],[Inntekt]]&gt;=K$428,K$428,Tabell2[[#This Row],[Inntekt]]))</calculatedColumnFormula>
    </tableColumn>
    <tableColumn id="20" name="NIBR11-I" dataDxfId="23">
      <calculatedColumnFormula>IF(Tabell2[[#This Row],[NIBR11-T]]&lt;=L$430,100,IF(Tabell2[[#This Row],[NIBR11-T]]&gt;=L$429,0,100*(L$429-Tabell2[[#This Row],[NIBR11-T]])/L$432))</calculatedColumnFormula>
    </tableColumn>
    <tableColumn id="21" name="ReisetidOslo-I" dataDxfId="22">
      <calculatedColumnFormula>(M$429-Tabell2[[#This Row],[ReisetidOslo-T]])*100/M$432</calculatedColumnFormula>
    </tableColumn>
    <tableColumn id="31" name="Beftettotal-I" dataDxfId="21">
      <calculatedColumnFormula>100-(N$429-Tabell2[[#This Row],[Beftettotal-T]])*100/N$432</calculatedColumnFormula>
    </tableColumn>
    <tableColumn id="23" name="Befvekst10-I" dataDxfId="20">
      <calculatedColumnFormula>100-(O$429-Tabell2[[#This Row],[Befvekst10-T]])*100/O$432</calculatedColumnFormula>
    </tableColumn>
    <tableColumn id="24" name="Kvinneandel-I" dataDxfId="19">
      <calculatedColumnFormula>100-(P$429-Tabell2[[#This Row],[Kvinneandel-T]])*100/P$432</calculatedColumnFormula>
    </tableColumn>
    <tableColumn id="25" name="Eldreandel-I" dataDxfId="18">
      <calculatedColumnFormula>(Q$429-Tabell2[[#This Row],[Eldreandel-T]])*100/Q$432</calculatedColumnFormula>
    </tableColumn>
    <tableColumn id="26" name="Sysselsettingsvekst10-I" dataDxfId="17">
      <calculatedColumnFormula>100-(R$429-Tabell2[[#This Row],[Sysselsettingsvekst10-T]])*100/R$432</calculatedColumnFormula>
    </tableColumn>
    <tableColumn id="27" name="Yrkesaktivandel-I" dataDxfId="16">
      <calculatedColumnFormula>100-(S$429-Tabell2[[#This Row],[Yrkesaktivandel-T]])*100/S$432</calculatedColumnFormula>
    </tableColumn>
    <tableColumn id="28" name="Inntekt-I" dataDxfId="15">
      <calculatedColumnFormula>100-(T$429-Tabell2[[#This Row],[Inntekt-T]])*100/T$432</calculatedColumnFormula>
    </tableColumn>
    <tableColumn id="30" name="Totalareal" dataDxfId="14">
      <calculatedColumnFormula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ell3" displayName="Tabell3" ref="A1:M423" totalsRowShown="0" headerRowDxfId="13">
  <autoFilter ref="A1:M423"/>
  <sortState ref="A2:O423">
    <sortCondition ref="B1:B423"/>
  </sortState>
  <tableColumns count="13">
    <tableColumn id="1" name="Kommunenavn" dataDxfId="12"/>
    <tableColumn id="2" name="K-Løpenummer" dataDxfId="11"/>
    <tableColumn id="3" name="NIBR11Gammel-V" dataDxfId="10">
      <calculatedColumnFormula>'Arbeidsark-K'!U3*Vekting!$B$3</calculatedColumnFormula>
    </tableColumn>
    <tableColumn id="4" name="ReisetidOslo-V" dataDxfId="9">
      <calculatedColumnFormula>'Arbeidsark-K'!V3*Vekting!$C$3</calculatedColumnFormula>
    </tableColumn>
    <tableColumn id="5" name="Beftetttotal" dataDxfId="8">
      <calculatedColumnFormula>'Arbeidsark-K'!W3*Vekting!$D$3</calculatedColumnFormula>
    </tableColumn>
    <tableColumn id="6" name="Befvekst10-V" dataDxfId="7">
      <calculatedColumnFormula>'Arbeidsark-K'!X3*Vekting!$E$3</calculatedColumnFormula>
    </tableColumn>
    <tableColumn id="7" name="Kvinneandel-V" dataDxfId="6">
      <calculatedColumnFormula>'Arbeidsark-K'!Y3*Vekting!$F$3</calculatedColumnFormula>
    </tableColumn>
    <tableColumn id="8" name="Eldreandel-V" dataDxfId="5">
      <calculatedColumnFormula>'Arbeidsark-K'!Z3*Vekting!$G$3</calculatedColumnFormula>
    </tableColumn>
    <tableColumn id="9" name="Sysselsettingsvekst10-V" dataDxfId="4">
      <calculatedColumnFormula>'Arbeidsark-K'!AA3*Vekting!$H$3</calculatedColumnFormula>
    </tableColumn>
    <tableColumn id="10" name="Yrkesaktivandel-V" dataDxfId="3">
      <calculatedColumnFormula>'Arbeidsark-K'!AB3*Vekting!$I$3</calculatedColumnFormula>
    </tableColumn>
    <tableColumn id="11" name="Inntekt-V" dataDxfId="2">
      <calculatedColumnFormula>'Arbeidsark-K'!AC3*Vekting!$J$3</calculatedColumnFormula>
    </tableColumn>
    <tableColumn id="12" name="Distriktsindeks" dataDxfId="1">
      <calculatedColumnFormula>SUM(C2:K2)</calculatedColumnFormula>
    </tableColumn>
    <tableColumn id="15" name="Kommun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tatbank.ssb.no/statistikkbanken/SelectVarVal/Define.asp?subjectcode=05&amp;ProductId=05.01&amp;MainTable=Bruttoinnt&amp;SubTable=Kommun1&amp;PLanguage=0&amp;nvl=True&amp;Qid=0&amp;gruppe1=Kommun2002&amp;gruppe2=Hele&amp;gruppe3=Hele&amp;aggreg1=NO&amp;VS1=Kommun&amp;VS2=Kjonn3&amp;VS3=&amp;mt=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3"/>
  <sheetViews>
    <sheetView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L25" sqref="L25"/>
    </sheetView>
  </sheetViews>
  <sheetFormatPr baseColWidth="10" defaultColWidth="25" defaultRowHeight="15" x14ac:dyDescent="0.25"/>
  <cols>
    <col min="3" max="4" width="8.140625" bestFit="1" customWidth="1"/>
    <col min="5" max="5" width="7" bestFit="1" customWidth="1"/>
    <col min="6" max="6" width="12" bestFit="1" customWidth="1"/>
    <col min="7" max="7" width="15.7109375" bestFit="1" customWidth="1"/>
    <col min="8" max="8" width="12.85546875" bestFit="1" customWidth="1"/>
    <col min="9" max="10" width="7" bestFit="1" customWidth="1"/>
    <col min="11" max="11" width="18.42578125" bestFit="1" customWidth="1"/>
    <col min="12" max="12" width="21.5703125" bestFit="1" customWidth="1"/>
    <col min="13" max="13" width="14.42578125" customWidth="1"/>
    <col min="14" max="14" width="8.28515625" bestFit="1" customWidth="1"/>
    <col min="15" max="16" width="12.85546875" bestFit="1" customWidth="1"/>
    <col min="17" max="17" width="14.28515625" bestFit="1" customWidth="1"/>
    <col min="18" max="18" width="12.7109375" bestFit="1" customWidth="1"/>
    <col min="19" max="19" width="13.5703125" bestFit="1" customWidth="1"/>
    <col min="20" max="20" width="18.5703125" bestFit="1" customWidth="1"/>
  </cols>
  <sheetData>
    <row r="1" spans="1:20" x14ac:dyDescent="0.25">
      <c r="A1" s="6" t="s">
        <v>0</v>
      </c>
      <c r="B1" s="6" t="s">
        <v>924</v>
      </c>
      <c r="C1" s="5" t="s">
        <v>866</v>
      </c>
      <c r="D1" s="5" t="s">
        <v>868</v>
      </c>
      <c r="E1" s="5" t="s">
        <v>869</v>
      </c>
      <c r="F1" s="5" t="s">
        <v>437</v>
      </c>
      <c r="G1" s="5" t="s">
        <v>438</v>
      </c>
      <c r="H1" s="5" t="s">
        <v>439</v>
      </c>
      <c r="I1" s="5" t="s">
        <v>870</v>
      </c>
      <c r="J1" s="5" t="s">
        <v>871</v>
      </c>
      <c r="K1" s="8" t="s">
        <v>873</v>
      </c>
      <c r="L1" s="8" t="s">
        <v>872</v>
      </c>
      <c r="M1" s="4" t="s">
        <v>440</v>
      </c>
      <c r="N1" s="27" t="s">
        <v>434</v>
      </c>
      <c r="O1" s="8" t="s">
        <v>387</v>
      </c>
      <c r="P1" s="8" t="s">
        <v>400</v>
      </c>
      <c r="Q1" s="8" t="s">
        <v>390</v>
      </c>
      <c r="R1" s="8" t="s">
        <v>391</v>
      </c>
      <c r="S1" s="8" t="s">
        <v>401</v>
      </c>
      <c r="T1" s="8" t="s">
        <v>402</v>
      </c>
    </row>
    <row r="2" spans="1:20" x14ac:dyDescent="0.25">
      <c r="A2" s="1" t="s">
        <v>1</v>
      </c>
      <c r="B2" s="1">
        <v>1</v>
      </c>
      <c r="C2" s="35">
        <v>27835</v>
      </c>
      <c r="D2" s="34">
        <v>30790</v>
      </c>
      <c r="E2" s="31">
        <v>13480</v>
      </c>
      <c r="F2" s="36">
        <v>5206</v>
      </c>
      <c r="G2" s="37">
        <v>3654</v>
      </c>
      <c r="H2">
        <v>17828</v>
      </c>
      <c r="I2" s="31">
        <v>12172</v>
      </c>
      <c r="J2" s="31">
        <v>12351</v>
      </c>
      <c r="K2" s="7">
        <v>642.29999999999995</v>
      </c>
      <c r="L2" s="38">
        <v>380500</v>
      </c>
      <c r="M2" s="39">
        <v>78.046875</v>
      </c>
      <c r="N2">
        <v>5</v>
      </c>
      <c r="O2" s="30">
        <f>Rådatakommune[[#This Row],[B17-O]]/Rådatakommune[[#This Row],[Totalareal2017-O]]</f>
        <v>47.937101043126269</v>
      </c>
      <c r="P2" s="32">
        <f>Rådatakommune[[#This Row],[B17-O]]/Rådatakommune[[#This Row],[B07-O]]-1</f>
        <v>0.10616130770612542</v>
      </c>
      <c r="Q2" s="32">
        <f>Rådatakommune[[#This Row],[Kvinner20-39-O]]/Rådatakommune[[#This Row],[B17-O]]</f>
        <v>0.11867489444624878</v>
      </c>
      <c r="R2" s="32">
        <f>Rådatakommune[[#This Row],[Eldre67+-O]]/Rådatakommune[[#This Row],[B17-O]]</f>
        <v>0.16908087041247158</v>
      </c>
      <c r="S2" s="32">
        <f>Rådatakommune[[#This Row],[S16-O]]/Rådatakommune[[#This Row],[S06-O]]-1</f>
        <v>1.4705882352941124E-2</v>
      </c>
      <c r="T2" s="32">
        <f>Rådatakommune[[#This Row],[Y16-O]]/Rådatakommune[[#This Row],[Folk20-64-O]]</f>
        <v>0.75611397801211577</v>
      </c>
    </row>
    <row r="3" spans="1:20" x14ac:dyDescent="0.25">
      <c r="A3" s="1" t="s">
        <v>2</v>
      </c>
      <c r="B3" s="1">
        <v>2</v>
      </c>
      <c r="C3" s="35">
        <v>28633</v>
      </c>
      <c r="D3" s="34">
        <v>32407</v>
      </c>
      <c r="E3" s="31">
        <v>14468</v>
      </c>
      <c r="F3" s="36">
        <v>5474</v>
      </c>
      <c r="G3" s="37">
        <v>3707</v>
      </c>
      <c r="H3">
        <v>18688</v>
      </c>
      <c r="I3" s="31">
        <v>14676</v>
      </c>
      <c r="J3" s="31">
        <v>13472</v>
      </c>
      <c r="K3" s="7">
        <v>63.57</v>
      </c>
      <c r="L3" s="38">
        <v>405300</v>
      </c>
      <c r="M3" s="39">
        <v>44.6796875</v>
      </c>
      <c r="N3">
        <v>4</v>
      </c>
      <c r="O3" s="30">
        <f>Rådatakommune[[#This Row],[B17-O]]/Rådatakommune[[#This Row],[Totalareal2017-O]]</f>
        <v>509.78448953909077</v>
      </c>
      <c r="P3" s="32">
        <f>Rådatakommune[[#This Row],[B17-O]]/Rådatakommune[[#This Row],[B07-O]]-1</f>
        <v>0.13180595816016494</v>
      </c>
      <c r="Q3" s="32">
        <f>Rådatakommune[[#This Row],[Kvinner20-39-O]]/Rådatakommune[[#This Row],[B17-O]]</f>
        <v>0.11438886660289443</v>
      </c>
      <c r="R3" s="32">
        <f>Rådatakommune[[#This Row],[Eldre67+-O]]/Rådatakommune[[#This Row],[B17-O]]</f>
        <v>0.16891412349183818</v>
      </c>
      <c r="S3" s="32">
        <f>Rådatakommune[[#This Row],[S16-O]]/Rådatakommune[[#This Row],[S06-O]]-1</f>
        <v>-8.203870264377211E-2</v>
      </c>
      <c r="T3" s="32">
        <f>Rådatakommune[[#This Row],[Y16-O]]/Rådatakommune[[#This Row],[Folk20-64-O]]</f>
        <v>0.77418664383561642</v>
      </c>
    </row>
    <row r="4" spans="1:20" x14ac:dyDescent="0.25">
      <c r="A4" s="1" t="s">
        <v>3</v>
      </c>
      <c r="B4" s="1">
        <v>3</v>
      </c>
      <c r="C4" s="35">
        <v>50593</v>
      </c>
      <c r="D4" s="34">
        <v>55127</v>
      </c>
      <c r="E4" s="31">
        <v>24298</v>
      </c>
      <c r="F4" s="36">
        <v>8928</v>
      </c>
      <c r="G4" s="37">
        <v>6530</v>
      </c>
      <c r="H4">
        <v>31829</v>
      </c>
      <c r="I4" s="31">
        <v>22486</v>
      </c>
      <c r="J4" s="31">
        <v>27192</v>
      </c>
      <c r="K4" s="7">
        <v>405.61</v>
      </c>
      <c r="L4" s="38">
        <v>381400</v>
      </c>
      <c r="M4" s="39">
        <v>61.8515625</v>
      </c>
      <c r="N4">
        <v>2</v>
      </c>
      <c r="O4" s="30">
        <f>Rådatakommune[[#This Row],[B17-O]]/Rådatakommune[[#This Row],[Totalareal2017-O]]</f>
        <v>135.91134340869309</v>
      </c>
      <c r="P4" s="32">
        <f>Rådatakommune[[#This Row],[B17-O]]/Rådatakommune[[#This Row],[B07-O]]-1</f>
        <v>8.9617140711165666E-2</v>
      </c>
      <c r="Q4" s="32">
        <f>Rådatakommune[[#This Row],[Kvinner20-39-O]]/Rådatakommune[[#This Row],[B17-O]]</f>
        <v>0.11845375224481651</v>
      </c>
      <c r="R4" s="32">
        <f>Rådatakommune[[#This Row],[Eldre67+-O]]/Rådatakommune[[#This Row],[B17-O]]</f>
        <v>0.16195330781649644</v>
      </c>
      <c r="S4" s="32">
        <f>Rådatakommune[[#This Row],[S16-O]]/Rådatakommune[[#This Row],[S06-O]]-1</f>
        <v>0.2092857778173085</v>
      </c>
      <c r="T4" s="32">
        <f>Rådatakommune[[#This Row],[Y16-O]]/Rådatakommune[[#This Row],[Folk20-64-O]]</f>
        <v>0.76339187533381503</v>
      </c>
    </row>
    <row r="5" spans="1:20" x14ac:dyDescent="0.25">
      <c r="A5" s="1" t="s">
        <v>4</v>
      </c>
      <c r="B5" s="1">
        <v>4</v>
      </c>
      <c r="C5" s="35">
        <v>71297</v>
      </c>
      <c r="D5" s="34">
        <v>80121</v>
      </c>
      <c r="E5" s="31">
        <v>36583</v>
      </c>
      <c r="F5" s="36">
        <v>12662</v>
      </c>
      <c r="G5" s="37">
        <v>9520</v>
      </c>
      <c r="H5">
        <v>46969</v>
      </c>
      <c r="I5" s="31">
        <v>33912</v>
      </c>
      <c r="J5" s="31">
        <v>31710</v>
      </c>
      <c r="K5" s="7">
        <v>292.55</v>
      </c>
      <c r="L5" s="38">
        <v>396600</v>
      </c>
      <c r="M5" s="39">
        <v>65.515625</v>
      </c>
      <c r="N5">
        <v>2</v>
      </c>
      <c r="O5" s="30">
        <f>Rådatakommune[[#This Row],[B17-O]]/Rådatakommune[[#This Row],[Totalareal2017-O]]</f>
        <v>273.87113313963425</v>
      </c>
      <c r="P5" s="32">
        <f>Rådatakommune[[#This Row],[B17-O]]/Rådatakommune[[#This Row],[B07-O]]-1</f>
        <v>0.12376397323870569</v>
      </c>
      <c r="Q5" s="32">
        <f>Rådatakommune[[#This Row],[Kvinner20-39-O]]/Rådatakommune[[#This Row],[B17-O]]</f>
        <v>0.11882028431996605</v>
      </c>
      <c r="R5" s="32">
        <f>Rådatakommune[[#This Row],[Eldre67+-O]]/Rådatakommune[[#This Row],[B17-O]]</f>
        <v>0.15803597059447586</v>
      </c>
      <c r="S5" s="32">
        <f>Rådatakommune[[#This Row],[S16-O]]/Rådatakommune[[#This Row],[S06-O]]-1</f>
        <v>-6.4932767162066529E-2</v>
      </c>
      <c r="T5" s="32">
        <f>Rådatakommune[[#This Row],[Y16-O]]/Rådatakommune[[#This Row],[Folk20-64-O]]</f>
        <v>0.77887542847409996</v>
      </c>
    </row>
    <row r="6" spans="1:20" x14ac:dyDescent="0.25">
      <c r="A6" s="1" t="s">
        <v>5</v>
      </c>
      <c r="B6" s="1">
        <v>5</v>
      </c>
      <c r="C6" s="35">
        <v>3880</v>
      </c>
      <c r="D6" s="34">
        <v>4517</v>
      </c>
      <c r="E6" s="31">
        <v>2084</v>
      </c>
      <c r="F6" s="36">
        <v>924</v>
      </c>
      <c r="G6" s="37">
        <v>397</v>
      </c>
      <c r="H6">
        <v>2533</v>
      </c>
      <c r="I6" s="31">
        <v>1088</v>
      </c>
      <c r="J6" s="31">
        <v>1235</v>
      </c>
      <c r="K6" s="7">
        <v>90.12</v>
      </c>
      <c r="L6" s="38">
        <v>434400</v>
      </c>
      <c r="M6" s="39">
        <v>91.28125</v>
      </c>
      <c r="N6">
        <v>3</v>
      </c>
      <c r="O6" s="30">
        <f>Rådatakommune[[#This Row],[B17-O]]/Rådatakommune[[#This Row],[Totalareal2017-O]]</f>
        <v>50.122059476253881</v>
      </c>
      <c r="P6" s="32">
        <f>Rådatakommune[[#This Row],[B17-O]]/Rådatakommune[[#This Row],[B07-O]]-1</f>
        <v>0.16417525773195885</v>
      </c>
      <c r="Q6" s="32">
        <f>Rådatakommune[[#This Row],[Kvinner20-39-O]]/Rådatakommune[[#This Row],[B17-O]]</f>
        <v>8.7890192605711751E-2</v>
      </c>
      <c r="R6" s="32">
        <f>Rådatakommune[[#This Row],[Eldre67+-O]]/Rådatakommune[[#This Row],[B17-O]]</f>
        <v>0.20456054903697143</v>
      </c>
      <c r="S6" s="32">
        <f>Rådatakommune[[#This Row],[S16-O]]/Rådatakommune[[#This Row],[S06-O]]-1</f>
        <v>0.13511029411764697</v>
      </c>
      <c r="T6" s="32">
        <f>Rådatakommune[[#This Row],[Y16-O]]/Rådatakommune[[#This Row],[Folk20-64-O]]</f>
        <v>0.822739834188709</v>
      </c>
    </row>
    <row r="7" spans="1:20" x14ac:dyDescent="0.25">
      <c r="A7" s="1" t="s">
        <v>6</v>
      </c>
      <c r="B7" s="1">
        <v>6</v>
      </c>
      <c r="C7" s="35">
        <v>1417</v>
      </c>
      <c r="D7" s="34">
        <v>1398</v>
      </c>
      <c r="E7" s="31">
        <v>638</v>
      </c>
      <c r="F7" s="36">
        <v>268</v>
      </c>
      <c r="G7" s="37">
        <v>117</v>
      </c>
      <c r="H7">
        <v>780</v>
      </c>
      <c r="I7" s="31">
        <v>367</v>
      </c>
      <c r="J7" s="31">
        <v>350</v>
      </c>
      <c r="K7" s="7">
        <v>319.27</v>
      </c>
      <c r="L7" s="38">
        <v>392700</v>
      </c>
      <c r="M7" s="39">
        <v>92.90625</v>
      </c>
      <c r="N7">
        <v>5</v>
      </c>
      <c r="O7" s="30">
        <f>Rådatakommune[[#This Row],[B17-O]]/Rådatakommune[[#This Row],[Totalareal2017-O]]</f>
        <v>4.3787389983399629</v>
      </c>
      <c r="P7" s="32">
        <f>Rådatakommune[[#This Row],[B17-O]]/Rådatakommune[[#This Row],[B07-O]]-1</f>
        <v>-1.3408609738884913E-2</v>
      </c>
      <c r="Q7" s="32">
        <f>Rådatakommune[[#This Row],[Kvinner20-39-O]]/Rådatakommune[[#This Row],[B17-O]]</f>
        <v>8.3690987124463517E-2</v>
      </c>
      <c r="R7" s="32">
        <f>Rådatakommune[[#This Row],[Eldre67+-O]]/Rådatakommune[[#This Row],[B17-O]]</f>
        <v>0.19170243204577969</v>
      </c>
      <c r="S7" s="32">
        <f>Rådatakommune[[#This Row],[S16-O]]/Rådatakommune[[#This Row],[S06-O]]-1</f>
        <v>-4.6321525885558601E-2</v>
      </c>
      <c r="T7" s="32">
        <f>Rådatakommune[[#This Row],[Y16-O]]/Rådatakommune[[#This Row],[Folk20-64-O]]</f>
        <v>0.81794871794871793</v>
      </c>
    </row>
    <row r="8" spans="1:20" x14ac:dyDescent="0.25">
      <c r="A8" s="1" t="s">
        <v>7</v>
      </c>
      <c r="B8" s="1">
        <v>7</v>
      </c>
      <c r="C8" s="35">
        <v>3517</v>
      </c>
      <c r="D8" s="34">
        <v>3597</v>
      </c>
      <c r="E8" s="31">
        <v>1592</v>
      </c>
      <c r="F8" s="36">
        <v>782</v>
      </c>
      <c r="G8" s="37">
        <v>346</v>
      </c>
      <c r="H8">
        <v>1961</v>
      </c>
      <c r="I8" s="31">
        <v>1311</v>
      </c>
      <c r="J8" s="31">
        <v>1152</v>
      </c>
      <c r="K8" s="7">
        <v>412.90000000000003</v>
      </c>
      <c r="L8" s="38">
        <v>390600</v>
      </c>
      <c r="M8" s="39">
        <v>67.640625</v>
      </c>
      <c r="N8">
        <v>5</v>
      </c>
      <c r="O8" s="30">
        <f>Rådatakommune[[#This Row],[B17-O]]/Rådatakommune[[#This Row],[Totalareal2017-O]]</f>
        <v>8.7115524340033907</v>
      </c>
      <c r="P8" s="32">
        <f>Rådatakommune[[#This Row],[B17-O]]/Rådatakommune[[#This Row],[B07-O]]-1</f>
        <v>2.2746659084446952E-2</v>
      </c>
      <c r="Q8" s="32">
        <f>Rådatakommune[[#This Row],[Kvinner20-39-O]]/Rådatakommune[[#This Row],[B17-O]]</f>
        <v>9.6191270503197104E-2</v>
      </c>
      <c r="R8" s="32">
        <f>Rådatakommune[[#This Row],[Eldre67+-O]]/Rådatakommune[[#This Row],[B17-O]]</f>
        <v>0.21740339171531833</v>
      </c>
      <c r="S8" s="32">
        <f>Rådatakommune[[#This Row],[S16-O]]/Rådatakommune[[#This Row],[S06-O]]-1</f>
        <v>-0.1212814645308925</v>
      </c>
      <c r="T8" s="32">
        <f>Rådatakommune[[#This Row],[Y16-O]]/Rådatakommune[[#This Row],[Folk20-64-O]]</f>
        <v>0.81183069862315149</v>
      </c>
    </row>
    <row r="9" spans="1:20" x14ac:dyDescent="0.25">
      <c r="A9" s="1" t="s">
        <v>8</v>
      </c>
      <c r="B9" s="1">
        <v>8</v>
      </c>
      <c r="C9" s="35">
        <v>659</v>
      </c>
      <c r="D9" s="34">
        <v>685</v>
      </c>
      <c r="E9" s="31">
        <v>343</v>
      </c>
      <c r="F9" s="36">
        <v>141</v>
      </c>
      <c r="G9" s="37">
        <v>62</v>
      </c>
      <c r="H9">
        <v>379</v>
      </c>
      <c r="I9" s="31">
        <v>194</v>
      </c>
      <c r="J9" s="31">
        <v>223</v>
      </c>
      <c r="K9" s="7">
        <v>183.14</v>
      </c>
      <c r="L9" s="38">
        <v>432900</v>
      </c>
      <c r="M9" s="39">
        <v>71.359375</v>
      </c>
      <c r="N9">
        <v>1</v>
      </c>
      <c r="O9" s="30">
        <f>Rådatakommune[[#This Row],[B17-O]]/Rådatakommune[[#This Row],[Totalareal2017-O]]</f>
        <v>3.7403079611226389</v>
      </c>
      <c r="P9" s="32">
        <f>Rådatakommune[[#This Row],[B17-O]]/Rådatakommune[[#This Row],[B07-O]]-1</f>
        <v>3.9453717754172946E-2</v>
      </c>
      <c r="Q9" s="32">
        <f>Rådatakommune[[#This Row],[Kvinner20-39-O]]/Rådatakommune[[#This Row],[B17-O]]</f>
        <v>9.0510948905109495E-2</v>
      </c>
      <c r="R9" s="32">
        <f>Rådatakommune[[#This Row],[Eldre67+-O]]/Rådatakommune[[#This Row],[B17-O]]</f>
        <v>0.20583941605839415</v>
      </c>
      <c r="S9" s="32">
        <f>Rådatakommune[[#This Row],[S16-O]]/Rådatakommune[[#This Row],[S06-O]]-1</f>
        <v>0.14948453608247414</v>
      </c>
      <c r="T9" s="32">
        <f>Rådatakommune[[#This Row],[Y16-O]]/Rådatakommune[[#This Row],[Folk20-64-O]]</f>
        <v>0.9050131926121372</v>
      </c>
    </row>
    <row r="10" spans="1:20" x14ac:dyDescent="0.25">
      <c r="A10" s="1" t="s">
        <v>9</v>
      </c>
      <c r="B10" s="1">
        <v>9</v>
      </c>
      <c r="C10" s="35">
        <v>4994</v>
      </c>
      <c r="D10" s="34">
        <v>5367</v>
      </c>
      <c r="E10" s="31">
        <v>2622</v>
      </c>
      <c r="F10" s="36">
        <v>902</v>
      </c>
      <c r="G10" s="37">
        <v>555</v>
      </c>
      <c r="H10">
        <v>3110</v>
      </c>
      <c r="I10" s="31">
        <v>1447</v>
      </c>
      <c r="J10" s="31">
        <v>1552</v>
      </c>
      <c r="K10" s="7">
        <v>204.45000000000002</v>
      </c>
      <c r="L10" s="38">
        <v>393500</v>
      </c>
      <c r="M10" s="39">
        <v>56.78125</v>
      </c>
      <c r="N10">
        <v>5</v>
      </c>
      <c r="O10" s="30">
        <f>Rådatakommune[[#This Row],[B17-O]]/Rådatakommune[[#This Row],[Totalareal2017-O]]</f>
        <v>26.250917094644166</v>
      </c>
      <c r="P10" s="32">
        <f>Rådatakommune[[#This Row],[B17-O]]/Rådatakommune[[#This Row],[B07-O]]-1</f>
        <v>7.4689627553063742E-2</v>
      </c>
      <c r="Q10" s="32">
        <f>Rådatakommune[[#This Row],[Kvinner20-39-O]]/Rådatakommune[[#This Row],[B17-O]]</f>
        <v>0.1034097261039687</v>
      </c>
      <c r="R10" s="32">
        <f>Rådatakommune[[#This Row],[Eldre67+-O]]/Rådatakommune[[#This Row],[B17-O]]</f>
        <v>0.16806409539780137</v>
      </c>
      <c r="S10" s="32">
        <f>Rådatakommune[[#This Row],[S16-O]]/Rådatakommune[[#This Row],[S06-O]]-1</f>
        <v>7.2563925362819637E-2</v>
      </c>
      <c r="T10" s="32">
        <f>Rådatakommune[[#This Row],[Y16-O]]/Rådatakommune[[#This Row],[Folk20-64-O]]</f>
        <v>0.8430868167202572</v>
      </c>
    </row>
    <row r="11" spans="1:20" x14ac:dyDescent="0.25">
      <c r="A11" s="1" t="s">
        <v>10</v>
      </c>
      <c r="B11" s="1">
        <v>10</v>
      </c>
      <c r="C11" s="35">
        <v>4948</v>
      </c>
      <c r="D11" s="34">
        <v>5765</v>
      </c>
      <c r="E11" s="31">
        <v>2751</v>
      </c>
      <c r="F11" s="36">
        <v>936</v>
      </c>
      <c r="G11" s="37">
        <v>664</v>
      </c>
      <c r="H11">
        <v>3269</v>
      </c>
      <c r="I11" s="31">
        <v>1903</v>
      </c>
      <c r="J11" s="31">
        <v>1948</v>
      </c>
      <c r="K11" s="7">
        <v>142.03</v>
      </c>
      <c r="L11" s="38">
        <v>411700</v>
      </c>
      <c r="M11" s="39">
        <v>42.15625</v>
      </c>
      <c r="N11">
        <v>1</v>
      </c>
      <c r="O11" s="30">
        <f>Rådatakommune[[#This Row],[B17-O]]/Rådatakommune[[#This Row],[Totalareal2017-O]]</f>
        <v>40.590016193761883</v>
      </c>
      <c r="P11" s="32">
        <f>Rådatakommune[[#This Row],[B17-O]]/Rådatakommune[[#This Row],[B07-O]]-1</f>
        <v>0.16511721907841559</v>
      </c>
      <c r="Q11" s="32">
        <f>Rådatakommune[[#This Row],[Kvinner20-39-O]]/Rådatakommune[[#This Row],[B17-O]]</f>
        <v>0.11517779705117086</v>
      </c>
      <c r="R11" s="32">
        <f>Rådatakommune[[#This Row],[Eldre67+-O]]/Rådatakommune[[#This Row],[B17-O]]</f>
        <v>0.16235906331309627</v>
      </c>
      <c r="S11" s="32">
        <f>Rådatakommune[[#This Row],[S16-O]]/Rådatakommune[[#This Row],[S06-O]]-1</f>
        <v>2.3646873357856091E-2</v>
      </c>
      <c r="T11" s="32">
        <f>Rådatakommune[[#This Row],[Y16-O]]/Rådatakommune[[#This Row],[Folk20-64-O]]</f>
        <v>0.84154175588865099</v>
      </c>
    </row>
    <row r="12" spans="1:20" x14ac:dyDescent="0.25">
      <c r="A12" s="1" t="s">
        <v>11</v>
      </c>
      <c r="B12" s="1">
        <v>11</v>
      </c>
      <c r="C12" s="35">
        <v>14329</v>
      </c>
      <c r="D12" s="34">
        <v>15720</v>
      </c>
      <c r="E12" s="31">
        <v>7072</v>
      </c>
      <c r="F12" s="36">
        <v>2444</v>
      </c>
      <c r="G12" s="37">
        <v>1869</v>
      </c>
      <c r="H12">
        <v>9074</v>
      </c>
      <c r="I12" s="31">
        <v>5652</v>
      </c>
      <c r="J12" s="31">
        <v>5573</v>
      </c>
      <c r="K12" s="7">
        <v>69.149999999999991</v>
      </c>
      <c r="L12" s="38">
        <v>391400</v>
      </c>
      <c r="M12" s="39">
        <v>46.2109375</v>
      </c>
      <c r="N12">
        <v>5</v>
      </c>
      <c r="O12" s="30">
        <f>Rådatakommune[[#This Row],[B17-O]]/Rådatakommune[[#This Row],[Totalareal2017-O]]</f>
        <v>227.33188720173538</v>
      </c>
      <c r="P12" s="32">
        <f>Rådatakommune[[#This Row],[B17-O]]/Rådatakommune[[#This Row],[B07-O]]-1</f>
        <v>9.7075860143764459E-2</v>
      </c>
      <c r="Q12" s="32">
        <f>Rådatakommune[[#This Row],[Kvinner20-39-O]]/Rådatakommune[[#This Row],[B17-O]]</f>
        <v>0.11889312977099237</v>
      </c>
      <c r="R12" s="32">
        <f>Rådatakommune[[#This Row],[Eldre67+-O]]/Rådatakommune[[#This Row],[B17-O]]</f>
        <v>0.15547073791348601</v>
      </c>
      <c r="S12" s="32">
        <f>Rådatakommune[[#This Row],[S16-O]]/Rådatakommune[[#This Row],[S06-O]]-1</f>
        <v>-1.3977353149327687E-2</v>
      </c>
      <c r="T12" s="32">
        <f>Rådatakommune[[#This Row],[Y16-O]]/Rådatakommune[[#This Row],[Folk20-64-O]]</f>
        <v>0.77936962750716332</v>
      </c>
    </row>
    <row r="13" spans="1:20" x14ac:dyDescent="0.25">
      <c r="A13" s="1" t="s">
        <v>12</v>
      </c>
      <c r="B13" s="1">
        <v>12</v>
      </c>
      <c r="C13" s="35">
        <v>10357</v>
      </c>
      <c r="D13" s="34">
        <v>11406</v>
      </c>
      <c r="E13" s="31">
        <v>5248</v>
      </c>
      <c r="F13" s="36">
        <v>1896</v>
      </c>
      <c r="G13" s="37">
        <v>1281</v>
      </c>
      <c r="H13">
        <v>6606</v>
      </c>
      <c r="I13" s="31">
        <v>4871</v>
      </c>
      <c r="J13" s="31">
        <v>4748</v>
      </c>
      <c r="K13" s="7">
        <v>235.91</v>
      </c>
      <c r="L13" s="38">
        <v>381500</v>
      </c>
      <c r="M13" s="39">
        <v>54.0546875</v>
      </c>
      <c r="N13">
        <v>5</v>
      </c>
      <c r="O13" s="30">
        <f>Rådatakommune[[#This Row],[B17-O]]/Rådatakommune[[#This Row],[Totalareal2017-O]]</f>
        <v>48.348946632190241</v>
      </c>
      <c r="P13" s="32">
        <f>Rådatakommune[[#This Row],[B17-O]]/Rådatakommune[[#This Row],[B07-O]]-1</f>
        <v>0.10128415564352622</v>
      </c>
      <c r="Q13" s="32">
        <f>Rådatakommune[[#This Row],[Kvinner20-39-O]]/Rådatakommune[[#This Row],[B17-O]]</f>
        <v>0.11230931088900578</v>
      </c>
      <c r="R13" s="32">
        <f>Rådatakommune[[#This Row],[Eldre67+-O]]/Rådatakommune[[#This Row],[B17-O]]</f>
        <v>0.16622830089426618</v>
      </c>
      <c r="S13" s="32">
        <f>Rådatakommune[[#This Row],[S16-O]]/Rådatakommune[[#This Row],[S06-O]]-1</f>
        <v>-2.5251488400739097E-2</v>
      </c>
      <c r="T13" s="32">
        <f>Rådatakommune[[#This Row],[Y16-O]]/Rådatakommune[[#This Row],[Folk20-64-O]]</f>
        <v>0.79442930669088707</v>
      </c>
    </row>
    <row r="14" spans="1:20" x14ac:dyDescent="0.25">
      <c r="A14" s="1" t="s">
        <v>13</v>
      </c>
      <c r="B14" s="1">
        <v>13</v>
      </c>
      <c r="C14" s="35">
        <v>3413</v>
      </c>
      <c r="D14" s="34">
        <v>3783</v>
      </c>
      <c r="E14" s="31">
        <v>1835</v>
      </c>
      <c r="F14" s="36">
        <v>538</v>
      </c>
      <c r="G14" s="37">
        <v>460</v>
      </c>
      <c r="H14">
        <v>2160</v>
      </c>
      <c r="I14" s="31">
        <v>952</v>
      </c>
      <c r="J14" s="31">
        <v>976</v>
      </c>
      <c r="K14" s="7">
        <v>101.21000000000001</v>
      </c>
      <c r="L14" s="38">
        <v>406700</v>
      </c>
      <c r="M14" s="39">
        <v>54.8125</v>
      </c>
      <c r="N14">
        <v>5</v>
      </c>
      <c r="O14" s="30">
        <f>Rådatakommune[[#This Row],[B17-O]]/Rådatakommune[[#This Row],[Totalareal2017-O]]</f>
        <v>37.377729473372192</v>
      </c>
      <c r="P14" s="32">
        <f>Rådatakommune[[#This Row],[B17-O]]/Rådatakommune[[#This Row],[B07-O]]-1</f>
        <v>0.10840902431878119</v>
      </c>
      <c r="Q14" s="32">
        <f>Rådatakommune[[#This Row],[Kvinner20-39-O]]/Rådatakommune[[#This Row],[B17-O]]</f>
        <v>0.12159661644197726</v>
      </c>
      <c r="R14" s="32">
        <f>Rådatakommune[[#This Row],[Eldre67+-O]]/Rådatakommune[[#This Row],[B17-O]]</f>
        <v>0.14221517314300819</v>
      </c>
      <c r="S14" s="32">
        <f>Rådatakommune[[#This Row],[S16-O]]/Rådatakommune[[#This Row],[S06-O]]-1</f>
        <v>2.5210084033613356E-2</v>
      </c>
      <c r="T14" s="32">
        <f>Rådatakommune[[#This Row],[Y16-O]]/Rådatakommune[[#This Row],[Folk20-64-O]]</f>
        <v>0.84953703703703709</v>
      </c>
    </row>
    <row r="15" spans="1:20" x14ac:dyDescent="0.25">
      <c r="A15" s="1" t="s">
        <v>14</v>
      </c>
      <c r="B15" s="1">
        <v>14</v>
      </c>
      <c r="C15" s="35">
        <v>7428</v>
      </c>
      <c r="D15" s="34">
        <v>8173</v>
      </c>
      <c r="E15" s="31">
        <v>3840</v>
      </c>
      <c r="F15" s="36">
        <v>1335</v>
      </c>
      <c r="G15" s="37">
        <v>912</v>
      </c>
      <c r="H15">
        <v>4660</v>
      </c>
      <c r="I15" s="31">
        <v>3159</v>
      </c>
      <c r="J15" s="31">
        <v>2963</v>
      </c>
      <c r="K15" s="7">
        <v>434.71</v>
      </c>
      <c r="L15" s="38">
        <v>408600</v>
      </c>
      <c r="M15" s="39">
        <v>63.5625</v>
      </c>
      <c r="N15">
        <v>2</v>
      </c>
      <c r="O15" s="30">
        <f>Rådatakommune[[#This Row],[B17-O]]/Rådatakommune[[#This Row],[Totalareal2017-O]]</f>
        <v>18.801039773642199</v>
      </c>
      <c r="P15" s="32">
        <f>Rådatakommune[[#This Row],[B17-O]]/Rådatakommune[[#This Row],[B07-O]]-1</f>
        <v>0.10029617662897139</v>
      </c>
      <c r="Q15" s="32">
        <f>Rådatakommune[[#This Row],[Kvinner20-39-O]]/Rådatakommune[[#This Row],[B17-O]]</f>
        <v>0.1115869325828949</v>
      </c>
      <c r="R15" s="32">
        <f>Rådatakommune[[#This Row],[Eldre67+-O]]/Rådatakommune[[#This Row],[B17-O]]</f>
        <v>0.16334271381377707</v>
      </c>
      <c r="S15" s="32">
        <f>Rådatakommune[[#This Row],[S16-O]]/Rådatakommune[[#This Row],[S06-O]]-1</f>
        <v>-6.2044950933839771E-2</v>
      </c>
      <c r="T15" s="32">
        <f>Rådatakommune[[#This Row],[Y16-O]]/Rådatakommune[[#This Row],[Folk20-64-O]]</f>
        <v>0.82403433476394849</v>
      </c>
    </row>
    <row r="16" spans="1:20" x14ac:dyDescent="0.25">
      <c r="A16" s="1" t="s">
        <v>15</v>
      </c>
      <c r="B16" s="1">
        <v>15</v>
      </c>
      <c r="C16" s="35">
        <v>6654</v>
      </c>
      <c r="D16" s="34">
        <v>7398</v>
      </c>
      <c r="E16" s="31">
        <v>3501</v>
      </c>
      <c r="F16" s="36">
        <v>1322</v>
      </c>
      <c r="G16" s="37">
        <v>759</v>
      </c>
      <c r="H16">
        <v>4192</v>
      </c>
      <c r="I16" s="31">
        <v>2370</v>
      </c>
      <c r="J16" s="31">
        <v>2873</v>
      </c>
      <c r="K16" s="7">
        <v>118.77</v>
      </c>
      <c r="L16" s="38">
        <v>421100</v>
      </c>
      <c r="M16" s="39">
        <v>51.5703125</v>
      </c>
      <c r="N16">
        <v>2</v>
      </c>
      <c r="O16" s="30">
        <f>Rådatakommune[[#This Row],[B17-O]]/Rådatakommune[[#This Row],[Totalareal2017-O]]</f>
        <v>62.288456680980048</v>
      </c>
      <c r="P16" s="32">
        <f>Rådatakommune[[#This Row],[B17-O]]/Rådatakommune[[#This Row],[B07-O]]-1</f>
        <v>0.11181244364292153</v>
      </c>
      <c r="Q16" s="32">
        <f>Rådatakommune[[#This Row],[Kvinner20-39-O]]/Rådatakommune[[#This Row],[B17-O]]</f>
        <v>0.10259529602595296</v>
      </c>
      <c r="R16" s="32">
        <f>Rådatakommune[[#This Row],[Eldre67+-O]]/Rådatakommune[[#This Row],[B17-O]]</f>
        <v>0.17869694512030279</v>
      </c>
      <c r="S16" s="32">
        <f>Rådatakommune[[#This Row],[S16-O]]/Rådatakommune[[#This Row],[S06-O]]-1</f>
        <v>0.21223628691983132</v>
      </c>
      <c r="T16" s="32">
        <f>Rådatakommune[[#This Row],[Y16-O]]/Rådatakommune[[#This Row],[Folk20-64-O]]</f>
        <v>0.83516221374045807</v>
      </c>
    </row>
    <row r="17" spans="1:20" x14ac:dyDescent="0.25">
      <c r="A17" s="1" t="s">
        <v>16</v>
      </c>
      <c r="B17" s="1">
        <v>16</v>
      </c>
      <c r="C17" s="35">
        <v>13839</v>
      </c>
      <c r="D17" s="34">
        <v>15747</v>
      </c>
      <c r="E17" s="31">
        <v>7423</v>
      </c>
      <c r="F17" s="36">
        <v>2551</v>
      </c>
      <c r="G17" s="37">
        <v>1682</v>
      </c>
      <c r="H17">
        <v>9117</v>
      </c>
      <c r="I17" s="31">
        <v>5018</v>
      </c>
      <c r="J17" s="31">
        <v>5712</v>
      </c>
      <c r="K17" s="7">
        <v>74.199999999999989</v>
      </c>
      <c r="L17" s="38">
        <v>429800</v>
      </c>
      <c r="M17" s="39">
        <v>46.7265625</v>
      </c>
      <c r="N17">
        <v>4</v>
      </c>
      <c r="O17" s="30">
        <f>Rådatakommune[[#This Row],[B17-O]]/Rådatakommune[[#This Row],[Totalareal2017-O]]</f>
        <v>212.2237196765499</v>
      </c>
      <c r="P17" s="32">
        <f>Rådatakommune[[#This Row],[B17-O]]/Rådatakommune[[#This Row],[B07-O]]-1</f>
        <v>0.13787123347062646</v>
      </c>
      <c r="Q17" s="32">
        <f>Rådatakommune[[#This Row],[Kvinner20-39-O]]/Rådatakommune[[#This Row],[B17-O]]</f>
        <v>0.10681399631675875</v>
      </c>
      <c r="R17" s="32">
        <f>Rådatakommune[[#This Row],[Eldre67+-O]]/Rådatakommune[[#This Row],[B17-O]]</f>
        <v>0.16199911094176669</v>
      </c>
      <c r="S17" s="32">
        <f>Rådatakommune[[#This Row],[S16-O]]/Rådatakommune[[#This Row],[S06-O]]-1</f>
        <v>0.13830211239537671</v>
      </c>
      <c r="T17" s="32">
        <f>Rådatakommune[[#This Row],[Y16-O]]/Rådatakommune[[#This Row],[Folk20-64-O]]</f>
        <v>0.81419326532850722</v>
      </c>
    </row>
    <row r="18" spans="1:20" x14ac:dyDescent="0.25">
      <c r="A18" s="1" t="s">
        <v>17</v>
      </c>
      <c r="B18" s="1">
        <v>17</v>
      </c>
      <c r="C18" s="35">
        <v>4152</v>
      </c>
      <c r="D18" s="34">
        <v>5335</v>
      </c>
      <c r="E18" s="31">
        <v>2717</v>
      </c>
      <c r="F18" s="36">
        <v>639</v>
      </c>
      <c r="G18" s="37">
        <v>687</v>
      </c>
      <c r="H18">
        <v>3195</v>
      </c>
      <c r="I18" s="31">
        <v>1057</v>
      </c>
      <c r="J18" s="31">
        <v>1385</v>
      </c>
      <c r="K18" s="7">
        <v>256.95999999999998</v>
      </c>
      <c r="L18" s="38">
        <v>427200</v>
      </c>
      <c r="M18" s="39">
        <v>45.6015625</v>
      </c>
      <c r="N18">
        <v>4</v>
      </c>
      <c r="O18" s="30">
        <f>Rådatakommune[[#This Row],[B17-O]]/Rådatakommune[[#This Row],[Totalareal2017-O]]</f>
        <v>20.761986301369866</v>
      </c>
      <c r="P18" s="32">
        <f>Rådatakommune[[#This Row],[B17-O]]/Rådatakommune[[#This Row],[B07-O]]-1</f>
        <v>0.28492292870905578</v>
      </c>
      <c r="Q18" s="32">
        <f>Rådatakommune[[#This Row],[Kvinner20-39-O]]/Rådatakommune[[#This Row],[B17-O]]</f>
        <v>0.12877225866916589</v>
      </c>
      <c r="R18" s="32">
        <f>Rådatakommune[[#This Row],[Eldre67+-O]]/Rådatakommune[[#This Row],[B17-O]]</f>
        <v>0.11977507029053421</v>
      </c>
      <c r="S18" s="32">
        <f>Rådatakommune[[#This Row],[S16-O]]/Rådatakommune[[#This Row],[S06-O]]-1</f>
        <v>0.31031220435193951</v>
      </c>
      <c r="T18" s="32">
        <f>Rådatakommune[[#This Row],[Y16-O]]/Rådatakommune[[#This Row],[Folk20-64-O]]</f>
        <v>0.8503912363067293</v>
      </c>
    </row>
    <row r="19" spans="1:20" x14ac:dyDescent="0.25">
      <c r="A19" s="1" t="s">
        <v>18</v>
      </c>
      <c r="B19" s="1">
        <v>18</v>
      </c>
      <c r="C19" s="35">
        <v>4578</v>
      </c>
      <c r="D19" s="34">
        <v>5557</v>
      </c>
      <c r="E19" s="31">
        <v>2824</v>
      </c>
      <c r="F19" s="36">
        <v>724</v>
      </c>
      <c r="G19" s="37">
        <v>689</v>
      </c>
      <c r="H19">
        <v>3377</v>
      </c>
      <c r="I19" s="31">
        <v>1063</v>
      </c>
      <c r="J19" s="31">
        <v>1215</v>
      </c>
      <c r="K19" s="7">
        <v>140.38999999999999</v>
      </c>
      <c r="L19" s="38">
        <v>405800</v>
      </c>
      <c r="M19" s="39">
        <v>35.4453125</v>
      </c>
      <c r="N19">
        <v>1</v>
      </c>
      <c r="O19" s="30">
        <f>Rådatakommune[[#This Row],[B17-O]]/Rådatakommune[[#This Row],[Totalareal2017-O]]</f>
        <v>39.582591352660451</v>
      </c>
      <c r="P19" s="32">
        <f>Rådatakommune[[#This Row],[B17-O]]/Rådatakommune[[#This Row],[B07-O]]-1</f>
        <v>0.21384884228920931</v>
      </c>
      <c r="Q19" s="32">
        <f>Rådatakommune[[#This Row],[Kvinner20-39-O]]/Rådatakommune[[#This Row],[B17-O]]</f>
        <v>0.12398776318157279</v>
      </c>
      <c r="R19" s="32">
        <f>Rådatakommune[[#This Row],[Eldre67+-O]]/Rådatakommune[[#This Row],[B17-O]]</f>
        <v>0.1302861256073421</v>
      </c>
      <c r="S19" s="32">
        <f>Rådatakommune[[#This Row],[S16-O]]/Rådatakommune[[#This Row],[S06-O]]-1</f>
        <v>0.14299153339604898</v>
      </c>
      <c r="T19" s="32">
        <f>Rådatakommune[[#This Row],[Y16-O]]/Rådatakommune[[#This Row],[Folk20-64-O]]</f>
        <v>0.83624518803671899</v>
      </c>
    </row>
    <row r="20" spans="1:20" x14ac:dyDescent="0.25">
      <c r="A20" s="2" t="s">
        <v>19</v>
      </c>
      <c r="B20" s="2">
        <v>19</v>
      </c>
      <c r="C20" s="35">
        <v>13414</v>
      </c>
      <c r="D20" s="34">
        <v>17188</v>
      </c>
      <c r="E20" s="31">
        <v>8508</v>
      </c>
      <c r="F20" s="36">
        <v>2363</v>
      </c>
      <c r="G20" s="37">
        <v>1931</v>
      </c>
      <c r="H20">
        <v>9829</v>
      </c>
      <c r="I20" s="31">
        <v>4900</v>
      </c>
      <c r="J20" s="31">
        <v>7582</v>
      </c>
      <c r="K20" s="7">
        <v>133.97</v>
      </c>
      <c r="L20" s="38">
        <v>471800</v>
      </c>
      <c r="M20" s="39">
        <v>30.8515625</v>
      </c>
      <c r="N20">
        <v>1</v>
      </c>
      <c r="O20" s="30">
        <f>Rådatakommune[[#This Row],[B17-O]]/Rådatakommune[[#This Row],[Totalareal2017-O]]</f>
        <v>128.2973800104501</v>
      </c>
      <c r="P20" s="32">
        <f>Rådatakommune[[#This Row],[B17-O]]/Rådatakommune[[#This Row],[B07-O]]-1</f>
        <v>0.28134784553451619</v>
      </c>
      <c r="Q20" s="32">
        <f>Rådatakommune[[#This Row],[Kvinner20-39-O]]/Rådatakommune[[#This Row],[B17-O]]</f>
        <v>0.11234582266697696</v>
      </c>
      <c r="R20" s="32">
        <f>Rådatakommune[[#This Row],[Eldre67+-O]]/Rådatakommune[[#This Row],[B17-O]]</f>
        <v>0.13747963695601584</v>
      </c>
      <c r="S20" s="32">
        <f>Rådatakommune[[#This Row],[S16-O]]/Rådatakommune[[#This Row],[S06-O]]-1</f>
        <v>0.54734693877551011</v>
      </c>
      <c r="T20" s="32">
        <f>Rådatakommune[[#This Row],[Y16-O]]/Rådatakommune[[#This Row],[Folk20-64-O]]</f>
        <v>0.86560179061959508</v>
      </c>
    </row>
    <row r="21" spans="1:20" x14ac:dyDescent="0.25">
      <c r="A21" s="2" t="s">
        <v>20</v>
      </c>
      <c r="B21" s="2">
        <v>20</v>
      </c>
      <c r="C21" s="35">
        <v>27247</v>
      </c>
      <c r="D21" s="34">
        <v>30698</v>
      </c>
      <c r="E21" s="31">
        <v>15246</v>
      </c>
      <c r="F21" s="36">
        <v>4160</v>
      </c>
      <c r="G21" s="37">
        <v>3496</v>
      </c>
      <c r="H21">
        <v>17639</v>
      </c>
      <c r="I21" s="31">
        <v>12304</v>
      </c>
      <c r="J21" s="31">
        <v>14697</v>
      </c>
      <c r="K21" s="7">
        <v>165.53</v>
      </c>
      <c r="L21" s="38">
        <v>473100</v>
      </c>
      <c r="M21" s="39">
        <v>24.23828125</v>
      </c>
      <c r="N21">
        <v>1</v>
      </c>
      <c r="O21" s="30">
        <f>Rådatakommune[[#This Row],[B17-O]]/Rådatakommune[[#This Row],[Totalareal2017-O]]</f>
        <v>185.45278801425724</v>
      </c>
      <c r="P21" s="32">
        <f>Rådatakommune[[#This Row],[B17-O]]/Rådatakommune[[#This Row],[B07-O]]-1</f>
        <v>0.12665614563071159</v>
      </c>
      <c r="Q21" s="32">
        <f>Rådatakommune[[#This Row],[Kvinner20-39-O]]/Rådatakommune[[#This Row],[B17-O]]</f>
        <v>0.11388364062805395</v>
      </c>
      <c r="R21" s="32">
        <f>Rådatakommune[[#This Row],[Eldre67+-O]]/Rådatakommune[[#This Row],[B17-O]]</f>
        <v>0.13551371424848524</v>
      </c>
      <c r="S21" s="32">
        <f>Rådatakommune[[#This Row],[S16-O]]/Rådatakommune[[#This Row],[S06-O]]-1</f>
        <v>0.19448959687906364</v>
      </c>
      <c r="T21" s="32">
        <f>Rådatakommune[[#This Row],[Y16-O]]/Rådatakommune[[#This Row],[Folk20-64-O]]</f>
        <v>0.86433471285220254</v>
      </c>
    </row>
    <row r="22" spans="1:20" x14ac:dyDescent="0.25">
      <c r="A22" s="2" t="s">
        <v>21</v>
      </c>
      <c r="B22" s="2">
        <v>21</v>
      </c>
      <c r="C22" s="35">
        <v>14873</v>
      </c>
      <c r="D22" s="34">
        <v>19288</v>
      </c>
      <c r="E22" s="31">
        <v>9631</v>
      </c>
      <c r="F22" s="36">
        <v>2411</v>
      </c>
      <c r="G22" s="37">
        <v>2777</v>
      </c>
      <c r="H22">
        <v>11722</v>
      </c>
      <c r="I22" s="31">
        <v>7280</v>
      </c>
      <c r="J22" s="31">
        <v>9152</v>
      </c>
      <c r="K22" s="7">
        <v>103.1</v>
      </c>
      <c r="L22" s="38">
        <v>427400</v>
      </c>
      <c r="M22" s="39">
        <v>30.47265625</v>
      </c>
      <c r="N22">
        <v>1</v>
      </c>
      <c r="O22" s="30">
        <f>Rådatakommune[[#This Row],[B17-O]]/Rådatakommune[[#This Row],[Totalareal2017-O]]</f>
        <v>187.08050436469449</v>
      </c>
      <c r="P22" s="32">
        <f>Rådatakommune[[#This Row],[B17-O]]/Rådatakommune[[#This Row],[B07-O]]-1</f>
        <v>0.29684663484165941</v>
      </c>
      <c r="Q22" s="32">
        <f>Rådatakommune[[#This Row],[Kvinner20-39-O]]/Rådatakommune[[#This Row],[B17-O]]</f>
        <v>0.1439755288262132</v>
      </c>
      <c r="R22" s="32">
        <f>Rådatakommune[[#This Row],[Eldre67+-O]]/Rådatakommune[[#This Row],[B17-O]]</f>
        <v>0.125</v>
      </c>
      <c r="S22" s="32">
        <f>Rådatakommune[[#This Row],[S16-O]]/Rådatakommune[[#This Row],[S06-O]]-1</f>
        <v>0.25714285714285712</v>
      </c>
      <c r="T22" s="32">
        <f>Rådatakommune[[#This Row],[Y16-O]]/Rådatakommune[[#This Row],[Folk20-64-O]]</f>
        <v>0.82161747142125918</v>
      </c>
    </row>
    <row r="23" spans="1:20" x14ac:dyDescent="0.25">
      <c r="A23" s="2" t="s">
        <v>22</v>
      </c>
      <c r="B23" s="2">
        <v>22</v>
      </c>
      <c r="C23" s="35">
        <v>13890</v>
      </c>
      <c r="D23" s="34">
        <v>15743</v>
      </c>
      <c r="E23" s="31">
        <v>7831</v>
      </c>
      <c r="F23" s="36">
        <v>2645</v>
      </c>
      <c r="G23" s="37">
        <v>1547</v>
      </c>
      <c r="H23">
        <v>9031</v>
      </c>
      <c r="I23" s="31">
        <v>3920</v>
      </c>
      <c r="J23" s="31">
        <v>4563</v>
      </c>
      <c r="K23" s="7">
        <v>85.7</v>
      </c>
      <c r="L23" s="38">
        <v>511900</v>
      </c>
      <c r="M23" s="39">
        <v>32.9765625</v>
      </c>
      <c r="N23">
        <v>1</v>
      </c>
      <c r="O23" s="30">
        <f>Rådatakommune[[#This Row],[B17-O]]/Rådatakommune[[#This Row],[Totalareal2017-O]]</f>
        <v>183.69894982497081</v>
      </c>
      <c r="P23" s="32">
        <f>Rådatakommune[[#This Row],[B17-O]]/Rådatakommune[[#This Row],[B07-O]]-1</f>
        <v>0.13340532757379409</v>
      </c>
      <c r="Q23" s="32">
        <f>Rådatakommune[[#This Row],[Kvinner20-39-O]]/Rådatakommune[[#This Row],[B17-O]]</f>
        <v>9.8265895953757232E-2</v>
      </c>
      <c r="R23" s="32">
        <f>Rådatakommune[[#This Row],[Eldre67+-O]]/Rådatakommune[[#This Row],[B17-O]]</f>
        <v>0.16801117957187323</v>
      </c>
      <c r="S23" s="32">
        <f>Rådatakommune[[#This Row],[S16-O]]/Rådatakommune[[#This Row],[S06-O]]-1</f>
        <v>0.16403061224489801</v>
      </c>
      <c r="T23" s="32">
        <f>Rådatakommune[[#This Row],[Y16-O]]/Rådatakommune[[#This Row],[Folk20-64-O]]</f>
        <v>0.86712434946296091</v>
      </c>
    </row>
    <row r="24" spans="1:20" x14ac:dyDescent="0.25">
      <c r="A24" s="2" t="s">
        <v>23</v>
      </c>
      <c r="B24" s="2">
        <v>23</v>
      </c>
      <c r="C24" s="35">
        <v>16791</v>
      </c>
      <c r="D24" s="34">
        <v>18869</v>
      </c>
      <c r="E24" s="31">
        <v>9373</v>
      </c>
      <c r="F24" s="36">
        <v>2468</v>
      </c>
      <c r="G24" s="37">
        <v>2055</v>
      </c>
      <c r="H24">
        <v>11004</v>
      </c>
      <c r="I24" s="31">
        <v>4292</v>
      </c>
      <c r="J24" s="31">
        <v>4676</v>
      </c>
      <c r="K24" s="7">
        <v>61.46</v>
      </c>
      <c r="L24" s="38">
        <v>467500</v>
      </c>
      <c r="M24" s="39">
        <v>43.5234375</v>
      </c>
      <c r="N24">
        <v>1</v>
      </c>
      <c r="O24" s="30">
        <f>Rådatakommune[[#This Row],[B17-O]]/Rådatakommune[[#This Row],[Totalareal2017-O]]</f>
        <v>307.01269118125612</v>
      </c>
      <c r="P24" s="32">
        <f>Rådatakommune[[#This Row],[B17-O]]/Rådatakommune[[#This Row],[B07-O]]-1</f>
        <v>0.12375677446250966</v>
      </c>
      <c r="Q24" s="32">
        <f>Rådatakommune[[#This Row],[Kvinner20-39-O]]/Rådatakommune[[#This Row],[B17-O]]</f>
        <v>0.10890879219884467</v>
      </c>
      <c r="R24" s="32">
        <f>Rådatakommune[[#This Row],[Eldre67+-O]]/Rådatakommune[[#This Row],[B17-O]]</f>
        <v>0.13079654459695797</v>
      </c>
      <c r="S24" s="32">
        <f>Rådatakommune[[#This Row],[S16-O]]/Rådatakommune[[#This Row],[S06-O]]-1</f>
        <v>8.9468779123951458E-2</v>
      </c>
      <c r="T24" s="32">
        <f>Rådatakommune[[#This Row],[Y16-O]]/Rådatakommune[[#This Row],[Folk20-64-O]]</f>
        <v>0.85178117048346058</v>
      </c>
    </row>
    <row r="25" spans="1:20" x14ac:dyDescent="0.25">
      <c r="A25" s="2" t="s">
        <v>24</v>
      </c>
      <c r="B25" s="2">
        <v>24</v>
      </c>
      <c r="C25" s="35">
        <v>23993</v>
      </c>
      <c r="D25" s="34">
        <v>26988</v>
      </c>
      <c r="E25" s="31">
        <v>13241</v>
      </c>
      <c r="F25" s="36">
        <v>4138</v>
      </c>
      <c r="G25" s="37">
        <v>2865</v>
      </c>
      <c r="H25">
        <v>15211</v>
      </c>
      <c r="I25" s="31">
        <v>8927</v>
      </c>
      <c r="J25" s="31">
        <v>9727</v>
      </c>
      <c r="K25" s="7">
        <v>37.040000000000006</v>
      </c>
      <c r="L25" s="38">
        <v>528900</v>
      </c>
      <c r="M25" s="39">
        <v>15.6796875</v>
      </c>
      <c r="N25">
        <v>1</v>
      </c>
      <c r="O25" s="30">
        <f>Rådatakommune[[#This Row],[B17-O]]/Rådatakommune[[#This Row],[Totalareal2017-O]]</f>
        <v>728.61771058315321</v>
      </c>
      <c r="P25" s="32">
        <f>Rådatakommune[[#This Row],[B17-O]]/Rådatakommune[[#This Row],[B07-O]]-1</f>
        <v>0.124828074855166</v>
      </c>
      <c r="Q25" s="32">
        <f>Rådatakommune[[#This Row],[Kvinner20-39-O]]/Rådatakommune[[#This Row],[B17-O]]</f>
        <v>0.10615829257447755</v>
      </c>
      <c r="R25" s="32">
        <f>Rådatakommune[[#This Row],[Eldre67+-O]]/Rådatakommune[[#This Row],[B17-O]]</f>
        <v>0.15332740477249149</v>
      </c>
      <c r="S25" s="32">
        <f>Rådatakommune[[#This Row],[S16-O]]/Rådatakommune[[#This Row],[S06-O]]-1</f>
        <v>8.9615772375938096E-2</v>
      </c>
      <c r="T25" s="32">
        <f>Rådatakommune[[#This Row],[Y16-O]]/Rådatakommune[[#This Row],[Folk20-64-O]]</f>
        <v>0.87048846229702193</v>
      </c>
    </row>
    <row r="26" spans="1:20" x14ac:dyDescent="0.25">
      <c r="A26" s="2" t="s">
        <v>25</v>
      </c>
      <c r="B26" s="2">
        <v>25</v>
      </c>
      <c r="C26" s="35">
        <v>106932</v>
      </c>
      <c r="D26" s="34">
        <v>124008</v>
      </c>
      <c r="E26" s="31">
        <v>61592</v>
      </c>
      <c r="F26" s="36">
        <v>17540</v>
      </c>
      <c r="G26" s="37">
        <v>14565</v>
      </c>
      <c r="H26">
        <v>71466</v>
      </c>
      <c r="I26" s="31">
        <v>63398</v>
      </c>
      <c r="J26" s="31">
        <v>70395</v>
      </c>
      <c r="K26" s="7">
        <v>192.26000000000002</v>
      </c>
      <c r="L26" s="38">
        <v>629200</v>
      </c>
      <c r="M26" s="39">
        <v>11.291015625</v>
      </c>
      <c r="N26">
        <v>1</v>
      </c>
      <c r="O26" s="30">
        <f>Rådatakommune[[#This Row],[B17-O]]/Rådatakommune[[#This Row],[Totalareal2017-O]]</f>
        <v>645.00156038697594</v>
      </c>
      <c r="P26" s="32">
        <f>Rådatakommune[[#This Row],[B17-O]]/Rådatakommune[[#This Row],[B07-O]]-1</f>
        <v>0.15969027045225004</v>
      </c>
      <c r="Q26" s="32">
        <f>Rådatakommune[[#This Row],[Kvinner20-39-O]]/Rådatakommune[[#This Row],[B17-O]]</f>
        <v>0.11745209986452487</v>
      </c>
      <c r="R26" s="32">
        <f>Rådatakommune[[#This Row],[Eldre67+-O]]/Rådatakommune[[#This Row],[B17-O]]</f>
        <v>0.14144248758144637</v>
      </c>
      <c r="S26" s="32">
        <f>Rådatakommune[[#This Row],[S16-O]]/Rådatakommune[[#This Row],[S06-O]]-1</f>
        <v>0.11036625761065011</v>
      </c>
      <c r="T26" s="32">
        <f>Rådatakommune[[#This Row],[Y16-O]]/Rådatakommune[[#This Row],[Folk20-64-O]]</f>
        <v>0.8618363977275908</v>
      </c>
    </row>
    <row r="27" spans="1:20" x14ac:dyDescent="0.25">
      <c r="A27" s="2" t="s">
        <v>26</v>
      </c>
      <c r="B27" s="2">
        <v>26</v>
      </c>
      <c r="C27" s="35">
        <v>52210</v>
      </c>
      <c r="D27" s="34">
        <v>60781</v>
      </c>
      <c r="E27" s="31">
        <v>30105</v>
      </c>
      <c r="F27" s="36">
        <v>8377</v>
      </c>
      <c r="G27" s="37">
        <v>6963</v>
      </c>
      <c r="H27">
        <v>34954</v>
      </c>
      <c r="I27" s="31">
        <v>24072</v>
      </c>
      <c r="J27" s="31">
        <v>26636</v>
      </c>
      <c r="K27" s="7">
        <v>100.71000000000001</v>
      </c>
      <c r="L27" s="38">
        <v>590600</v>
      </c>
      <c r="M27" s="39">
        <v>16.72265625</v>
      </c>
      <c r="N27">
        <v>1</v>
      </c>
      <c r="O27" s="30">
        <f>Rådatakommune[[#This Row],[B17-O]]/Rådatakommune[[#This Row],[Totalareal2017-O]]</f>
        <v>603.52497269387345</v>
      </c>
      <c r="P27" s="32">
        <f>Rådatakommune[[#This Row],[B17-O]]/Rådatakommune[[#This Row],[B07-O]]-1</f>
        <v>0.16416395326565802</v>
      </c>
      <c r="Q27" s="32">
        <f>Rådatakommune[[#This Row],[Kvinner20-39-O]]/Rådatakommune[[#This Row],[B17-O]]</f>
        <v>0.1145588259488985</v>
      </c>
      <c r="R27" s="32">
        <f>Rådatakommune[[#This Row],[Eldre67+-O]]/Rådatakommune[[#This Row],[B17-O]]</f>
        <v>0.13782267484904823</v>
      </c>
      <c r="S27" s="32">
        <f>Rådatakommune[[#This Row],[S16-O]]/Rådatakommune[[#This Row],[S06-O]]-1</f>
        <v>0.10651379195746102</v>
      </c>
      <c r="T27" s="32">
        <f>Rådatakommune[[#This Row],[Y16-O]]/Rådatakommune[[#This Row],[Folk20-64-O]]</f>
        <v>0.86127481833266584</v>
      </c>
    </row>
    <row r="28" spans="1:20" x14ac:dyDescent="0.25">
      <c r="A28" s="2" t="s">
        <v>27</v>
      </c>
      <c r="B28" s="2">
        <v>27</v>
      </c>
      <c r="C28" s="35">
        <v>13587</v>
      </c>
      <c r="D28" s="34">
        <v>16162</v>
      </c>
      <c r="E28" s="31">
        <v>7907</v>
      </c>
      <c r="F28" s="36">
        <v>2613</v>
      </c>
      <c r="G28" s="37">
        <v>1846</v>
      </c>
      <c r="H28">
        <v>9349</v>
      </c>
      <c r="I28" s="31">
        <v>4564</v>
      </c>
      <c r="J28" s="31">
        <v>4943</v>
      </c>
      <c r="K28" s="7">
        <v>961.66</v>
      </c>
      <c r="L28" s="38">
        <v>392600</v>
      </c>
      <c r="M28" s="39">
        <v>49.40625</v>
      </c>
      <c r="N28">
        <v>1</v>
      </c>
      <c r="O28" s="30">
        <f>Rådatakommune[[#This Row],[B17-O]]/Rådatakommune[[#This Row],[Totalareal2017-O]]</f>
        <v>16.806355676642472</v>
      </c>
      <c r="P28" s="32">
        <f>Rådatakommune[[#This Row],[B17-O]]/Rådatakommune[[#This Row],[B07-O]]-1</f>
        <v>0.18951939353794067</v>
      </c>
      <c r="Q28" s="32">
        <f>Rådatakommune[[#This Row],[Kvinner20-39-O]]/Rådatakommune[[#This Row],[B17-O]]</f>
        <v>0.1142185373097389</v>
      </c>
      <c r="R28" s="32">
        <f>Rådatakommune[[#This Row],[Eldre67+-O]]/Rådatakommune[[#This Row],[B17-O]]</f>
        <v>0.16167553520603886</v>
      </c>
      <c r="S28" s="32">
        <f>Rådatakommune[[#This Row],[S16-O]]/Rådatakommune[[#This Row],[S06-O]]-1</f>
        <v>8.3041191936897407E-2</v>
      </c>
      <c r="T28" s="32">
        <f>Rådatakommune[[#This Row],[Y16-O]]/Rådatakommune[[#This Row],[Folk20-64-O]]</f>
        <v>0.84575890469568937</v>
      </c>
    </row>
    <row r="29" spans="1:20" x14ac:dyDescent="0.25">
      <c r="A29" s="2" t="s">
        <v>28</v>
      </c>
      <c r="B29" s="2">
        <v>28</v>
      </c>
      <c r="C29" s="35">
        <v>13807</v>
      </c>
      <c r="D29" s="34">
        <v>17665</v>
      </c>
      <c r="E29" s="31">
        <v>9071</v>
      </c>
      <c r="F29" s="36">
        <v>2034</v>
      </c>
      <c r="G29" s="37">
        <v>2174</v>
      </c>
      <c r="H29">
        <v>10423</v>
      </c>
      <c r="I29" s="31">
        <v>3666</v>
      </c>
      <c r="J29" s="31">
        <v>4975</v>
      </c>
      <c r="K29" s="7">
        <v>206.62</v>
      </c>
      <c r="L29" s="38">
        <v>453000</v>
      </c>
      <c r="M29" s="39">
        <v>35.0859375</v>
      </c>
      <c r="N29">
        <v>1</v>
      </c>
      <c r="O29" s="30">
        <f>Rådatakommune[[#This Row],[B17-O]]/Rådatakommune[[#This Row],[Totalareal2017-O]]</f>
        <v>85.495111799438575</v>
      </c>
      <c r="P29" s="32">
        <f>Rådatakommune[[#This Row],[B17-O]]/Rådatakommune[[#This Row],[B07-O]]-1</f>
        <v>0.27942348084305069</v>
      </c>
      <c r="Q29" s="32">
        <f>Rådatakommune[[#This Row],[Kvinner20-39-O]]/Rådatakommune[[#This Row],[B17-O]]</f>
        <v>0.12306821398245117</v>
      </c>
      <c r="R29" s="32">
        <f>Rådatakommune[[#This Row],[Eldre67+-O]]/Rådatakommune[[#This Row],[B17-O]]</f>
        <v>0.1151429380130201</v>
      </c>
      <c r="S29" s="32">
        <f>Rådatakommune[[#This Row],[S16-O]]/Rådatakommune[[#This Row],[S06-O]]-1</f>
        <v>0.35706492089470809</v>
      </c>
      <c r="T29" s="32">
        <f>Rådatakommune[[#This Row],[Y16-O]]/Rådatakommune[[#This Row],[Folk20-64-O]]</f>
        <v>0.87028686558572388</v>
      </c>
    </row>
    <row r="30" spans="1:20" x14ac:dyDescent="0.25">
      <c r="A30" s="2" t="s">
        <v>29</v>
      </c>
      <c r="B30" s="2">
        <v>29</v>
      </c>
      <c r="C30" s="35">
        <v>9799</v>
      </c>
      <c r="D30" s="34">
        <v>11555</v>
      </c>
      <c r="E30" s="31">
        <v>5944</v>
      </c>
      <c r="F30" s="36">
        <v>1566</v>
      </c>
      <c r="G30" s="37">
        <v>1321</v>
      </c>
      <c r="H30">
        <v>6833</v>
      </c>
      <c r="I30" s="31">
        <v>2273</v>
      </c>
      <c r="J30" s="31">
        <v>2721</v>
      </c>
      <c r="K30" s="7">
        <v>176.36</v>
      </c>
      <c r="L30" s="38">
        <v>461400</v>
      </c>
      <c r="M30" s="39">
        <v>26.08984375</v>
      </c>
      <c r="N30">
        <v>1</v>
      </c>
      <c r="O30" s="30">
        <f>Rådatakommune[[#This Row],[B17-O]]/Rådatakommune[[#This Row],[Totalareal2017-O]]</f>
        <v>65.519392152415506</v>
      </c>
      <c r="P30" s="32">
        <f>Rådatakommune[[#This Row],[B17-O]]/Rådatakommune[[#This Row],[B07-O]]-1</f>
        <v>0.1792019593836105</v>
      </c>
      <c r="Q30" s="32">
        <f>Rådatakommune[[#This Row],[Kvinner20-39-O]]/Rådatakommune[[#This Row],[B17-O]]</f>
        <v>0.11432280398096062</v>
      </c>
      <c r="R30" s="32">
        <f>Rådatakommune[[#This Row],[Eldre67+-O]]/Rådatakommune[[#This Row],[B17-O]]</f>
        <v>0.13552574643011683</v>
      </c>
      <c r="S30" s="32">
        <f>Rådatakommune[[#This Row],[S16-O]]/Rådatakommune[[#This Row],[S06-O]]-1</f>
        <v>0.19709634843818735</v>
      </c>
      <c r="T30" s="32">
        <f>Rådatakommune[[#This Row],[Y16-O]]/Rådatakommune[[#This Row],[Folk20-64-O]]</f>
        <v>0.8698960924923167</v>
      </c>
    </row>
    <row r="31" spans="1:20" x14ac:dyDescent="0.25">
      <c r="A31" s="2" t="s">
        <v>30</v>
      </c>
      <c r="B31" s="2">
        <v>30</v>
      </c>
      <c r="C31" s="35">
        <v>15062</v>
      </c>
      <c r="D31" s="34">
        <v>17730</v>
      </c>
      <c r="E31" s="31">
        <v>9233</v>
      </c>
      <c r="F31" s="36">
        <v>2096</v>
      </c>
      <c r="G31" s="37">
        <v>2319</v>
      </c>
      <c r="H31">
        <v>10675</v>
      </c>
      <c r="I31" s="31">
        <v>2567</v>
      </c>
      <c r="J31" s="31">
        <v>3027</v>
      </c>
      <c r="K31" s="7">
        <v>71.680000000000007</v>
      </c>
      <c r="L31" s="38">
        <v>459300</v>
      </c>
      <c r="M31" s="39">
        <v>21.171875</v>
      </c>
      <c r="N31">
        <v>1</v>
      </c>
      <c r="O31" s="30">
        <f>Rådatakommune[[#This Row],[B17-O]]/Rådatakommune[[#This Row],[Totalareal2017-O]]</f>
        <v>247.34933035714283</v>
      </c>
      <c r="P31" s="32">
        <f>Rådatakommune[[#This Row],[B17-O]]/Rådatakommune[[#This Row],[B07-O]]-1</f>
        <v>0.17713451068915154</v>
      </c>
      <c r="Q31" s="32">
        <f>Rådatakommune[[#This Row],[Kvinner20-39-O]]/Rådatakommune[[#This Row],[B17-O]]</f>
        <v>0.13079526226734348</v>
      </c>
      <c r="R31" s="32">
        <f>Rådatakommune[[#This Row],[Eldre67+-O]]/Rådatakommune[[#This Row],[B17-O]]</f>
        <v>0.11821771009588268</v>
      </c>
      <c r="S31" s="32">
        <f>Rådatakommune[[#This Row],[S16-O]]/Rådatakommune[[#This Row],[S06-O]]-1</f>
        <v>0.1791975068172964</v>
      </c>
      <c r="T31" s="32">
        <f>Rådatakommune[[#This Row],[Y16-O]]/Rådatakommune[[#This Row],[Folk20-64-O]]</f>
        <v>0.86491803278688528</v>
      </c>
    </row>
    <row r="32" spans="1:20" x14ac:dyDescent="0.25">
      <c r="A32" s="2" t="s">
        <v>31</v>
      </c>
      <c r="B32" s="2">
        <v>31</v>
      </c>
      <c r="C32" s="35">
        <v>9660</v>
      </c>
      <c r="D32" s="34">
        <v>10927</v>
      </c>
      <c r="E32" s="31">
        <v>5519</v>
      </c>
      <c r="F32" s="36">
        <v>1354</v>
      </c>
      <c r="G32" s="37">
        <v>1297</v>
      </c>
      <c r="H32">
        <v>6485</v>
      </c>
      <c r="I32" s="31">
        <v>2451</v>
      </c>
      <c r="J32" s="31">
        <v>2924</v>
      </c>
      <c r="K32" s="7">
        <v>232.57999999999998</v>
      </c>
      <c r="L32" s="38">
        <v>437500</v>
      </c>
      <c r="M32" s="39">
        <v>37.4609375</v>
      </c>
      <c r="N32">
        <v>1</v>
      </c>
      <c r="O32" s="30">
        <f>Rådatakommune[[#This Row],[B17-O]]/Rådatakommune[[#This Row],[Totalareal2017-O]]</f>
        <v>46.981683721730164</v>
      </c>
      <c r="P32" s="32">
        <f>Rådatakommune[[#This Row],[B17-O]]/Rådatakommune[[#This Row],[B07-O]]-1</f>
        <v>0.13115942028985517</v>
      </c>
      <c r="Q32" s="32">
        <f>Rådatakommune[[#This Row],[Kvinner20-39-O]]/Rådatakommune[[#This Row],[B17-O]]</f>
        <v>0.11869680607669077</v>
      </c>
      <c r="R32" s="32">
        <f>Rådatakommune[[#This Row],[Eldre67+-O]]/Rådatakommune[[#This Row],[B17-O]]</f>
        <v>0.12391324242701565</v>
      </c>
      <c r="S32" s="32">
        <f>Rådatakommune[[#This Row],[S16-O]]/Rådatakommune[[#This Row],[S06-O]]-1</f>
        <v>0.19298245614035081</v>
      </c>
      <c r="T32" s="32">
        <f>Rådatakommune[[#This Row],[Y16-O]]/Rådatakommune[[#This Row],[Folk20-64-O]]</f>
        <v>0.85104086353122588</v>
      </c>
    </row>
    <row r="33" spans="1:20" x14ac:dyDescent="0.25">
      <c r="A33" s="2" t="s">
        <v>32</v>
      </c>
      <c r="B33" s="2">
        <v>32</v>
      </c>
      <c r="C33" s="35">
        <v>31365</v>
      </c>
      <c r="D33" s="34">
        <v>37406</v>
      </c>
      <c r="E33" s="31">
        <v>19014</v>
      </c>
      <c r="F33" s="36">
        <v>5028</v>
      </c>
      <c r="G33" s="37">
        <v>4664</v>
      </c>
      <c r="H33">
        <v>22385</v>
      </c>
      <c r="I33" s="31">
        <v>15734</v>
      </c>
      <c r="J33" s="31">
        <v>20195</v>
      </c>
      <c r="K33" s="7">
        <v>70.55</v>
      </c>
      <c r="L33" s="38">
        <v>472100</v>
      </c>
      <c r="M33" s="39">
        <v>14.3671875</v>
      </c>
      <c r="N33">
        <v>1</v>
      </c>
      <c r="O33" s="30">
        <f>Rådatakommune[[#This Row],[B17-O]]/Rådatakommune[[#This Row],[Totalareal2017-O]]</f>
        <v>530.20552799433028</v>
      </c>
      <c r="P33" s="32">
        <f>Rådatakommune[[#This Row],[B17-O]]/Rådatakommune[[#This Row],[B07-O]]-1</f>
        <v>0.19260322014984865</v>
      </c>
      <c r="Q33" s="32">
        <f>Rådatakommune[[#This Row],[Kvinner20-39-O]]/Rådatakommune[[#This Row],[B17-O]]</f>
        <v>0.12468587927070524</v>
      </c>
      <c r="R33" s="32">
        <f>Rådatakommune[[#This Row],[Eldre67+-O]]/Rådatakommune[[#This Row],[B17-O]]</f>
        <v>0.13441693845907074</v>
      </c>
      <c r="S33" s="32">
        <f>Rådatakommune[[#This Row],[S16-O]]/Rådatakommune[[#This Row],[S06-O]]-1</f>
        <v>0.28352612177450109</v>
      </c>
      <c r="T33" s="32">
        <f>Rådatakommune[[#This Row],[Y16-O]]/Rådatakommune[[#This Row],[Folk20-64-O]]</f>
        <v>0.84940808577172211</v>
      </c>
    </row>
    <row r="34" spans="1:20" x14ac:dyDescent="0.25">
      <c r="A34" s="2" t="s">
        <v>33</v>
      </c>
      <c r="B34" s="2">
        <v>33</v>
      </c>
      <c r="C34" s="35">
        <v>44577</v>
      </c>
      <c r="D34" s="34">
        <v>53276</v>
      </c>
      <c r="E34" s="31">
        <v>26618</v>
      </c>
      <c r="F34" s="36">
        <v>7240</v>
      </c>
      <c r="G34" s="37">
        <v>6767</v>
      </c>
      <c r="H34">
        <v>31768</v>
      </c>
      <c r="I34" s="31">
        <v>24742</v>
      </c>
      <c r="J34" s="31">
        <v>29133</v>
      </c>
      <c r="K34" s="7">
        <v>77.040000000000006</v>
      </c>
      <c r="L34" s="38">
        <v>455500</v>
      </c>
      <c r="M34" s="39">
        <v>19.1875</v>
      </c>
      <c r="N34">
        <v>1</v>
      </c>
      <c r="O34" s="30">
        <f>Rådatakommune[[#This Row],[B17-O]]/Rådatakommune[[#This Row],[Totalareal2017-O]]</f>
        <v>691.5368639667704</v>
      </c>
      <c r="P34" s="32">
        <f>Rådatakommune[[#This Row],[B17-O]]/Rådatakommune[[#This Row],[B07-O]]-1</f>
        <v>0.1951454786100455</v>
      </c>
      <c r="Q34" s="32">
        <f>Rådatakommune[[#This Row],[Kvinner20-39-O]]/Rådatakommune[[#This Row],[B17-O]]</f>
        <v>0.12701779412868833</v>
      </c>
      <c r="R34" s="32">
        <f>Rådatakommune[[#This Row],[Eldre67+-O]]/Rådatakommune[[#This Row],[B17-O]]</f>
        <v>0.13589608829491703</v>
      </c>
      <c r="S34" s="32">
        <f>Rådatakommune[[#This Row],[S16-O]]/Rådatakommune[[#This Row],[S06-O]]-1</f>
        <v>0.17747150594131433</v>
      </c>
      <c r="T34" s="32">
        <f>Rådatakommune[[#This Row],[Y16-O]]/Rådatakommune[[#This Row],[Folk20-64-O]]</f>
        <v>0.83788718207000756</v>
      </c>
    </row>
    <row r="35" spans="1:20" x14ac:dyDescent="0.25">
      <c r="A35" s="2" t="s">
        <v>34</v>
      </c>
      <c r="B35" s="2">
        <v>34</v>
      </c>
      <c r="C35" s="35">
        <v>19968</v>
      </c>
      <c r="D35" s="34">
        <v>23213</v>
      </c>
      <c r="E35" s="31">
        <v>11989</v>
      </c>
      <c r="F35" s="36">
        <v>2865</v>
      </c>
      <c r="G35" s="37">
        <v>2616</v>
      </c>
      <c r="H35">
        <v>13581</v>
      </c>
      <c r="I35" s="31">
        <v>7262</v>
      </c>
      <c r="J35" s="31">
        <v>8096</v>
      </c>
      <c r="K35" s="7">
        <v>186.23</v>
      </c>
      <c r="L35" s="38">
        <v>481600</v>
      </c>
      <c r="M35" s="39">
        <v>26.1015625</v>
      </c>
      <c r="N35">
        <v>1</v>
      </c>
      <c r="O35" s="30">
        <f>Rådatakommune[[#This Row],[B17-O]]/Rådatakommune[[#This Row],[Totalareal2017-O]]</f>
        <v>124.64694195349837</v>
      </c>
      <c r="P35" s="32">
        <f>Rådatakommune[[#This Row],[B17-O]]/Rådatakommune[[#This Row],[B07-O]]-1</f>
        <v>0.16251001602564097</v>
      </c>
      <c r="Q35" s="32">
        <f>Rådatakommune[[#This Row],[Kvinner20-39-O]]/Rådatakommune[[#This Row],[B17-O]]</f>
        <v>0.11269547236462327</v>
      </c>
      <c r="R35" s="32">
        <f>Rådatakommune[[#This Row],[Eldre67+-O]]/Rådatakommune[[#This Row],[B17-O]]</f>
        <v>0.12342222030758626</v>
      </c>
      <c r="S35" s="32">
        <f>Rådatakommune[[#This Row],[S16-O]]/Rådatakommune[[#This Row],[S06-O]]-1</f>
        <v>0.11484439548333802</v>
      </c>
      <c r="T35" s="32">
        <f>Rådatakommune[[#This Row],[Y16-O]]/Rådatakommune[[#This Row],[Folk20-64-O]]</f>
        <v>0.88277740961637585</v>
      </c>
    </row>
    <row r="36" spans="1:20" x14ac:dyDescent="0.25">
      <c r="A36" s="2" t="s">
        <v>35</v>
      </c>
      <c r="B36" s="2">
        <v>35</v>
      </c>
      <c r="C36" s="35">
        <v>5353</v>
      </c>
      <c r="D36" s="34">
        <v>6546</v>
      </c>
      <c r="E36" s="31">
        <v>3469</v>
      </c>
      <c r="F36" s="36">
        <v>833</v>
      </c>
      <c r="G36" s="37">
        <v>686</v>
      </c>
      <c r="H36">
        <v>3849</v>
      </c>
      <c r="I36" s="31">
        <v>1320</v>
      </c>
      <c r="J36" s="31">
        <v>1562</v>
      </c>
      <c r="K36" s="7">
        <v>83.19</v>
      </c>
      <c r="L36" s="38">
        <v>495100</v>
      </c>
      <c r="M36" s="39">
        <v>26.48046875</v>
      </c>
      <c r="N36">
        <v>1</v>
      </c>
      <c r="O36" s="30">
        <f>Rådatakommune[[#This Row],[B17-O]]/Rådatakommune[[#This Row],[Totalareal2017-O]]</f>
        <v>78.687342228633256</v>
      </c>
      <c r="P36" s="32">
        <f>Rådatakommune[[#This Row],[B17-O]]/Rådatakommune[[#This Row],[B07-O]]-1</f>
        <v>0.22286568279469465</v>
      </c>
      <c r="Q36" s="32">
        <f>Rådatakommune[[#This Row],[Kvinner20-39-O]]/Rådatakommune[[#This Row],[B17-O]]</f>
        <v>0.10479682248701497</v>
      </c>
      <c r="R36" s="32">
        <f>Rådatakommune[[#This Row],[Eldre67+-O]]/Rådatakommune[[#This Row],[B17-O]]</f>
        <v>0.12725328444851819</v>
      </c>
      <c r="S36" s="32">
        <f>Rådatakommune[[#This Row],[S16-O]]/Rådatakommune[[#This Row],[S06-O]]-1</f>
        <v>0.18333333333333335</v>
      </c>
      <c r="T36" s="32">
        <f>Rådatakommune[[#This Row],[Y16-O]]/Rådatakommune[[#This Row],[Folk20-64-O]]</f>
        <v>0.90127305793712653</v>
      </c>
    </row>
    <row r="37" spans="1:20" x14ac:dyDescent="0.25">
      <c r="A37" s="2" t="s">
        <v>36</v>
      </c>
      <c r="B37" s="2">
        <v>36</v>
      </c>
      <c r="C37" s="35">
        <v>25966</v>
      </c>
      <c r="D37" s="34">
        <v>35102</v>
      </c>
      <c r="E37" s="31">
        <v>17773</v>
      </c>
      <c r="F37" s="36">
        <v>4109</v>
      </c>
      <c r="G37" s="37">
        <v>4599</v>
      </c>
      <c r="H37">
        <v>21007</v>
      </c>
      <c r="I37" s="31">
        <v>20057</v>
      </c>
      <c r="J37" s="31">
        <v>25502</v>
      </c>
      <c r="K37" s="7">
        <v>252.47</v>
      </c>
      <c r="L37" s="38">
        <v>443800</v>
      </c>
      <c r="M37" s="39">
        <v>30.13671875</v>
      </c>
      <c r="N37">
        <v>1</v>
      </c>
      <c r="O37" s="30">
        <f>Rådatakommune[[#This Row],[B17-O]]/Rådatakommune[[#This Row],[Totalareal2017-O]]</f>
        <v>139.03434071374818</v>
      </c>
      <c r="P37" s="32">
        <f>Rådatakommune[[#This Row],[B17-O]]/Rådatakommune[[#This Row],[B07-O]]-1</f>
        <v>0.35184472001848577</v>
      </c>
      <c r="Q37" s="32">
        <f>Rådatakommune[[#This Row],[Kvinner20-39-O]]/Rådatakommune[[#This Row],[B17-O]]</f>
        <v>0.13101817560252976</v>
      </c>
      <c r="R37" s="32">
        <f>Rådatakommune[[#This Row],[Eldre67+-O]]/Rådatakommune[[#This Row],[B17-O]]</f>
        <v>0.11705885704518261</v>
      </c>
      <c r="S37" s="32">
        <f>Rådatakommune[[#This Row],[S16-O]]/Rådatakommune[[#This Row],[S06-O]]-1</f>
        <v>0.27147629256618644</v>
      </c>
      <c r="T37" s="32">
        <f>Rådatakommune[[#This Row],[Y16-O]]/Rådatakommune[[#This Row],[Folk20-64-O]]</f>
        <v>0.84605131622792407</v>
      </c>
    </row>
    <row r="38" spans="1:20" x14ac:dyDescent="0.25">
      <c r="A38" s="2" t="s">
        <v>37</v>
      </c>
      <c r="B38" s="2">
        <v>37</v>
      </c>
      <c r="C38" s="35">
        <v>18219</v>
      </c>
      <c r="D38" s="34">
        <v>21241</v>
      </c>
      <c r="E38" s="31">
        <v>10781</v>
      </c>
      <c r="F38" s="36">
        <v>2946</v>
      </c>
      <c r="G38" s="37">
        <v>2526</v>
      </c>
      <c r="H38">
        <v>12652</v>
      </c>
      <c r="I38" s="31">
        <v>5098</v>
      </c>
      <c r="J38" s="31">
        <v>5776</v>
      </c>
      <c r="K38" s="7">
        <v>637.35</v>
      </c>
      <c r="L38" s="38">
        <v>410800</v>
      </c>
      <c r="M38" s="39">
        <v>41.5546875</v>
      </c>
      <c r="N38">
        <v>1</v>
      </c>
      <c r="O38" s="30">
        <f>Rådatakommune[[#This Row],[B17-O]]/Rådatakommune[[#This Row],[Totalareal2017-O]]</f>
        <v>33.327057346826706</v>
      </c>
      <c r="P38" s="32">
        <f>Rådatakommune[[#This Row],[B17-O]]/Rådatakommune[[#This Row],[B07-O]]-1</f>
        <v>0.16587079422580819</v>
      </c>
      <c r="Q38" s="32">
        <f>Rådatakommune[[#This Row],[Kvinner20-39-O]]/Rådatakommune[[#This Row],[B17-O]]</f>
        <v>0.11892095475730897</v>
      </c>
      <c r="R38" s="32">
        <f>Rådatakommune[[#This Row],[Eldre67+-O]]/Rådatakommune[[#This Row],[B17-O]]</f>
        <v>0.13869403512075704</v>
      </c>
      <c r="S38" s="32">
        <f>Rådatakommune[[#This Row],[S16-O]]/Rådatakommune[[#This Row],[S06-O]]-1</f>
        <v>0.13299333071792852</v>
      </c>
      <c r="T38" s="32">
        <f>Rådatakommune[[#This Row],[Y16-O]]/Rådatakommune[[#This Row],[Folk20-64-O]]</f>
        <v>0.8521182421751502</v>
      </c>
    </row>
    <row r="39" spans="1:20" x14ac:dyDescent="0.25">
      <c r="A39" s="2" t="s">
        <v>38</v>
      </c>
      <c r="B39" s="2">
        <v>38</v>
      </c>
      <c r="C39" s="35">
        <v>19334</v>
      </c>
      <c r="D39" s="34">
        <v>24415</v>
      </c>
      <c r="E39" s="31">
        <v>12031</v>
      </c>
      <c r="F39" s="36">
        <v>3266</v>
      </c>
      <c r="G39" s="37">
        <v>3120</v>
      </c>
      <c r="H39">
        <v>14497</v>
      </c>
      <c r="I39" s="31">
        <v>6296</v>
      </c>
      <c r="J39" s="31">
        <v>6708</v>
      </c>
      <c r="K39" s="7">
        <v>456.49</v>
      </c>
      <c r="L39" s="38">
        <v>408500</v>
      </c>
      <c r="M39" s="39">
        <v>48.9921875</v>
      </c>
      <c r="N39">
        <v>1</v>
      </c>
      <c r="O39" s="30">
        <f>Rådatakommune[[#This Row],[B17-O]]/Rådatakommune[[#This Row],[Totalareal2017-O]]</f>
        <v>53.484194615435165</v>
      </c>
      <c r="P39" s="32">
        <f>Rådatakommune[[#This Row],[B17-O]]/Rådatakommune[[#This Row],[B07-O]]-1</f>
        <v>0.26280128271438907</v>
      </c>
      <c r="Q39" s="32">
        <f>Rådatakommune[[#This Row],[Kvinner20-39-O]]/Rådatakommune[[#This Row],[B17-O]]</f>
        <v>0.12779029285275445</v>
      </c>
      <c r="R39" s="32">
        <f>Rådatakommune[[#This Row],[Eldre67+-O]]/Rådatakommune[[#This Row],[B17-O]]</f>
        <v>0.13377022322342821</v>
      </c>
      <c r="S39" s="32">
        <f>Rådatakommune[[#This Row],[S16-O]]/Rådatakommune[[#This Row],[S06-O]]-1</f>
        <v>6.5438373570521069E-2</v>
      </c>
      <c r="T39" s="32">
        <f>Rådatakommune[[#This Row],[Y16-O]]/Rådatakommune[[#This Row],[Folk20-64-O]]</f>
        <v>0.829895840518728</v>
      </c>
    </row>
    <row r="40" spans="1:20" x14ac:dyDescent="0.25">
      <c r="A40" s="2" t="s">
        <v>39</v>
      </c>
      <c r="B40" s="2">
        <v>39</v>
      </c>
      <c r="C40" s="35">
        <v>10536</v>
      </c>
      <c r="D40" s="34">
        <v>12657</v>
      </c>
      <c r="E40" s="31">
        <v>6545</v>
      </c>
      <c r="F40" s="36">
        <v>1494</v>
      </c>
      <c r="G40" s="37">
        <v>1577</v>
      </c>
      <c r="H40">
        <v>7666</v>
      </c>
      <c r="I40" s="31">
        <v>2359</v>
      </c>
      <c r="J40" s="31">
        <v>2972</v>
      </c>
      <c r="K40" s="7">
        <v>340.99</v>
      </c>
      <c r="L40" s="38">
        <v>424200</v>
      </c>
      <c r="M40" s="39">
        <v>40.5</v>
      </c>
      <c r="N40">
        <v>1</v>
      </c>
      <c r="O40" s="30">
        <f>Rådatakommune[[#This Row],[B17-O]]/Rådatakommune[[#This Row],[Totalareal2017-O]]</f>
        <v>37.118390568638375</v>
      </c>
      <c r="P40" s="32">
        <f>Rådatakommune[[#This Row],[B17-O]]/Rådatakommune[[#This Row],[B07-O]]-1</f>
        <v>0.20130979498861046</v>
      </c>
      <c r="Q40" s="32">
        <f>Rådatakommune[[#This Row],[Kvinner20-39-O]]/Rådatakommune[[#This Row],[B17-O]]</f>
        <v>0.12459508572331517</v>
      </c>
      <c r="R40" s="32">
        <f>Rådatakommune[[#This Row],[Eldre67+-O]]/Rådatakommune[[#This Row],[B17-O]]</f>
        <v>0.11803744963261437</v>
      </c>
      <c r="S40" s="32">
        <f>Rådatakommune[[#This Row],[S16-O]]/Rådatakommune[[#This Row],[S06-O]]-1</f>
        <v>0.2598558711318355</v>
      </c>
      <c r="T40" s="32">
        <f>Rådatakommune[[#This Row],[Y16-O]]/Rådatakommune[[#This Row],[Folk20-64-O]]</f>
        <v>0.85376989303417683</v>
      </c>
    </row>
    <row r="41" spans="1:20" x14ac:dyDescent="0.25">
      <c r="A41" s="2" t="s">
        <v>40</v>
      </c>
      <c r="B41" s="2">
        <v>40</v>
      </c>
      <c r="C41" s="35">
        <v>2594</v>
      </c>
      <c r="D41" s="34">
        <v>2910</v>
      </c>
      <c r="E41" s="31">
        <v>1371</v>
      </c>
      <c r="F41" s="36">
        <v>507</v>
      </c>
      <c r="G41" s="37">
        <v>309</v>
      </c>
      <c r="H41">
        <v>1642</v>
      </c>
      <c r="I41" s="31">
        <v>884</v>
      </c>
      <c r="J41" s="31">
        <v>811</v>
      </c>
      <c r="K41" s="7">
        <v>284.96000000000004</v>
      </c>
      <c r="L41" s="38">
        <v>383800</v>
      </c>
      <c r="M41" s="39">
        <v>54.6015625</v>
      </c>
      <c r="N41">
        <v>1</v>
      </c>
      <c r="O41" s="30">
        <f>Rådatakommune[[#This Row],[B17-O]]/Rådatakommune[[#This Row],[Totalareal2017-O]]</f>
        <v>10.211959573273441</v>
      </c>
      <c r="P41" s="32">
        <f>Rådatakommune[[#This Row],[B17-O]]/Rådatakommune[[#This Row],[B07-O]]-1</f>
        <v>0.12181958365458745</v>
      </c>
      <c r="Q41" s="32">
        <f>Rådatakommune[[#This Row],[Kvinner20-39-O]]/Rådatakommune[[#This Row],[B17-O]]</f>
        <v>0.10618556701030928</v>
      </c>
      <c r="R41" s="32">
        <f>Rådatakommune[[#This Row],[Eldre67+-O]]/Rådatakommune[[#This Row],[B17-O]]</f>
        <v>0.17422680412371133</v>
      </c>
      <c r="S41" s="32">
        <f>Rådatakommune[[#This Row],[S16-O]]/Rådatakommune[[#This Row],[S06-O]]-1</f>
        <v>-8.2579185520362031E-2</v>
      </c>
      <c r="T41" s="32">
        <f>Rådatakommune[[#This Row],[Y16-O]]/Rådatakommune[[#This Row],[Folk20-64-O]]</f>
        <v>0.83495736906211937</v>
      </c>
    </row>
    <row r="42" spans="1:20" x14ac:dyDescent="0.25">
      <c r="A42" s="2" t="s">
        <v>41</v>
      </c>
      <c r="B42" s="2">
        <v>41</v>
      </c>
      <c r="C42" s="35">
        <v>548617</v>
      </c>
      <c r="D42" s="34">
        <v>666759</v>
      </c>
      <c r="E42" s="31">
        <v>351026</v>
      </c>
      <c r="F42" s="36">
        <v>71514</v>
      </c>
      <c r="G42" s="37">
        <v>122687</v>
      </c>
      <c r="H42">
        <v>440999</v>
      </c>
      <c r="I42" s="31">
        <v>405931</v>
      </c>
      <c r="J42" s="31">
        <v>457177</v>
      </c>
      <c r="K42" s="7">
        <v>454.09</v>
      </c>
      <c r="L42" s="38">
        <v>504200</v>
      </c>
      <c r="M42" s="39">
        <v>1.3920898438</v>
      </c>
      <c r="N42">
        <v>1</v>
      </c>
      <c r="O42" s="30">
        <f>Rådatakommune[[#This Row],[B17-O]]/Rådatakommune[[#This Row],[Totalareal2017-O]]</f>
        <v>1468.3410777599156</v>
      </c>
      <c r="P42" s="32">
        <f>Rådatakommune[[#This Row],[B17-O]]/Rådatakommune[[#This Row],[B07-O]]-1</f>
        <v>0.21534513148517087</v>
      </c>
      <c r="Q42" s="32">
        <f>Rådatakommune[[#This Row],[Kvinner20-39-O]]/Rådatakommune[[#This Row],[B17-O]]</f>
        <v>0.18400501530538022</v>
      </c>
      <c r="R42" s="32">
        <f>Rådatakommune[[#This Row],[Eldre67+-O]]/Rådatakommune[[#This Row],[B17-O]]</f>
        <v>0.10725614502391419</v>
      </c>
      <c r="S42" s="32">
        <f>Rådatakommune[[#This Row],[S16-O]]/Rådatakommune[[#This Row],[S06-O]]-1</f>
        <v>0.12624312999007214</v>
      </c>
      <c r="T42" s="32">
        <f>Rådatakommune[[#This Row],[Y16-O]]/Rådatakommune[[#This Row],[Folk20-64-O]]</f>
        <v>0.79597912920437464</v>
      </c>
    </row>
    <row r="43" spans="1:20" x14ac:dyDescent="0.25">
      <c r="A43" s="2" t="s">
        <v>42</v>
      </c>
      <c r="B43" s="2">
        <v>42</v>
      </c>
      <c r="C43" s="35">
        <v>17236</v>
      </c>
      <c r="D43" s="34">
        <v>17857</v>
      </c>
      <c r="E43" s="31">
        <v>7687</v>
      </c>
      <c r="F43" s="36">
        <v>3498</v>
      </c>
      <c r="G43" s="37">
        <v>1799</v>
      </c>
      <c r="H43">
        <v>10068</v>
      </c>
      <c r="I43" s="31">
        <v>8595</v>
      </c>
      <c r="J43" s="31">
        <v>8337</v>
      </c>
      <c r="K43" s="7">
        <v>1036.45</v>
      </c>
      <c r="L43" s="38">
        <v>381500</v>
      </c>
      <c r="M43" s="39">
        <v>71.796875</v>
      </c>
      <c r="N43">
        <v>5</v>
      </c>
      <c r="O43" s="30">
        <f>Rådatakommune[[#This Row],[B17-O]]/Rådatakommune[[#This Row],[Totalareal2017-O]]</f>
        <v>17.229002846254041</v>
      </c>
      <c r="P43" s="32">
        <f>Rådatakommune[[#This Row],[B17-O]]/Rådatakommune[[#This Row],[B07-O]]-1</f>
        <v>3.602924112323036E-2</v>
      </c>
      <c r="Q43" s="32">
        <f>Rådatakommune[[#This Row],[Kvinner20-39-O]]/Rådatakommune[[#This Row],[B17-O]]</f>
        <v>0.10074480595844766</v>
      </c>
      <c r="R43" s="32">
        <f>Rådatakommune[[#This Row],[Eldre67+-O]]/Rådatakommune[[#This Row],[B17-O]]</f>
        <v>0.19588956711653693</v>
      </c>
      <c r="S43" s="32">
        <f>Rådatakommune[[#This Row],[S16-O]]/Rådatakommune[[#This Row],[S06-O]]-1</f>
        <v>-3.0017452006980805E-2</v>
      </c>
      <c r="T43" s="32">
        <f>Rådatakommune[[#This Row],[Y16-O]]/Rådatakommune[[#This Row],[Folk20-64-O]]</f>
        <v>0.7635081446166071</v>
      </c>
    </row>
    <row r="44" spans="1:20" x14ac:dyDescent="0.25">
      <c r="A44" s="2" t="s">
        <v>43</v>
      </c>
      <c r="B44" s="2">
        <v>43</v>
      </c>
      <c r="C44" s="35">
        <v>27909</v>
      </c>
      <c r="D44" s="34">
        <v>30598</v>
      </c>
      <c r="E44" s="31">
        <v>14653</v>
      </c>
      <c r="F44" s="36">
        <v>5720</v>
      </c>
      <c r="G44" s="37">
        <v>3646</v>
      </c>
      <c r="H44">
        <v>17544</v>
      </c>
      <c r="I44" s="31">
        <v>17740</v>
      </c>
      <c r="J44" s="31">
        <v>19321</v>
      </c>
      <c r="K44" s="7">
        <v>350.94</v>
      </c>
      <c r="L44" s="38">
        <v>420700</v>
      </c>
      <c r="M44" s="39">
        <v>83.640625</v>
      </c>
      <c r="N44">
        <v>4</v>
      </c>
      <c r="O44" s="30">
        <f>Rådatakommune[[#This Row],[B17-O]]/Rådatakommune[[#This Row],[Totalareal2017-O]]</f>
        <v>87.188693223912921</v>
      </c>
      <c r="P44" s="32">
        <f>Rådatakommune[[#This Row],[B17-O]]/Rådatakommune[[#This Row],[B07-O]]-1</f>
        <v>9.6348848041850399E-2</v>
      </c>
      <c r="Q44" s="32">
        <f>Rådatakommune[[#This Row],[Kvinner20-39-O]]/Rådatakommune[[#This Row],[B17-O]]</f>
        <v>0.1191581149094712</v>
      </c>
      <c r="R44" s="32">
        <f>Rådatakommune[[#This Row],[Eldre67+-O]]/Rådatakommune[[#This Row],[B17-O]]</f>
        <v>0.18694032289692136</v>
      </c>
      <c r="S44" s="32">
        <f>Rådatakommune[[#This Row],[S16-O]]/Rådatakommune[[#This Row],[S06-O]]-1</f>
        <v>8.9120631341600864E-2</v>
      </c>
      <c r="T44" s="32">
        <f>Rådatakommune[[#This Row],[Y16-O]]/Rådatakommune[[#This Row],[Folk20-64-O]]</f>
        <v>0.83521431828545367</v>
      </c>
    </row>
    <row r="45" spans="1:20" x14ac:dyDescent="0.25">
      <c r="A45" s="2" t="s">
        <v>44</v>
      </c>
      <c r="B45" s="2">
        <v>44</v>
      </c>
      <c r="C45" s="35">
        <v>31974</v>
      </c>
      <c r="D45" s="34">
        <v>33842</v>
      </c>
      <c r="E45" s="31">
        <v>16723</v>
      </c>
      <c r="F45" s="36">
        <v>5751</v>
      </c>
      <c r="G45" s="37">
        <v>3770</v>
      </c>
      <c r="H45">
        <v>19428</v>
      </c>
      <c r="I45" s="31">
        <v>13578</v>
      </c>
      <c r="J45" s="31">
        <v>14487</v>
      </c>
      <c r="K45" s="7">
        <v>1280.0899999999999</v>
      </c>
      <c r="L45" s="38">
        <v>385800</v>
      </c>
      <c r="M45" s="39">
        <v>92.375</v>
      </c>
      <c r="N45">
        <v>4</v>
      </c>
      <c r="O45" s="30">
        <f>Rådatakommune[[#This Row],[B17-O]]/Rådatakommune[[#This Row],[Totalareal2017-O]]</f>
        <v>26.437203634119477</v>
      </c>
      <c r="P45" s="32">
        <f>Rådatakommune[[#This Row],[B17-O]]/Rådatakommune[[#This Row],[B07-O]]-1</f>
        <v>5.8422468255457494E-2</v>
      </c>
      <c r="Q45" s="32">
        <f>Rådatakommune[[#This Row],[Kvinner20-39-O]]/Rådatakommune[[#This Row],[B17-O]]</f>
        <v>0.11140003545889723</v>
      </c>
      <c r="R45" s="32">
        <f>Rådatakommune[[#This Row],[Eldre67+-O]]/Rådatakommune[[#This Row],[B17-O]]</f>
        <v>0.16993676496660953</v>
      </c>
      <c r="S45" s="32">
        <f>Rådatakommune[[#This Row],[S16-O]]/Rådatakommune[[#This Row],[S06-O]]-1</f>
        <v>6.6946531153336375E-2</v>
      </c>
      <c r="T45" s="32">
        <f>Rådatakommune[[#This Row],[Y16-O]]/Rådatakommune[[#This Row],[Folk20-64-O]]</f>
        <v>0.86076796376364006</v>
      </c>
    </row>
    <row r="46" spans="1:20" x14ac:dyDescent="0.25">
      <c r="A46" s="2" t="s">
        <v>45</v>
      </c>
      <c r="B46" s="2">
        <v>45</v>
      </c>
      <c r="C46" s="35">
        <v>7292</v>
      </c>
      <c r="D46" s="34">
        <v>7633</v>
      </c>
      <c r="E46" s="31">
        <v>3657</v>
      </c>
      <c r="F46" s="36">
        <v>1325</v>
      </c>
      <c r="G46" s="37">
        <v>877</v>
      </c>
      <c r="H46">
        <v>4417</v>
      </c>
      <c r="I46" s="31">
        <v>1755</v>
      </c>
      <c r="J46" s="31">
        <v>1843</v>
      </c>
      <c r="K46" s="7">
        <v>369.44</v>
      </c>
      <c r="L46" s="38">
        <v>370300</v>
      </c>
      <c r="M46" s="39">
        <v>82.140625</v>
      </c>
      <c r="N46">
        <v>4</v>
      </c>
      <c r="O46" s="30">
        <f>Rådatakommune[[#This Row],[B17-O]]/Rådatakommune[[#This Row],[Totalareal2017-O]]</f>
        <v>20.661000433087917</v>
      </c>
      <c r="P46" s="32">
        <f>Rådatakommune[[#This Row],[B17-O]]/Rådatakommune[[#This Row],[B07-O]]-1</f>
        <v>4.6763576522216077E-2</v>
      </c>
      <c r="Q46" s="32">
        <f>Rådatakommune[[#This Row],[Kvinner20-39-O]]/Rådatakommune[[#This Row],[B17-O]]</f>
        <v>0.11489584698021747</v>
      </c>
      <c r="R46" s="32">
        <f>Rådatakommune[[#This Row],[Eldre67+-O]]/Rådatakommune[[#This Row],[B17-O]]</f>
        <v>0.17358836630420543</v>
      </c>
      <c r="S46" s="32">
        <f>Rådatakommune[[#This Row],[S16-O]]/Rådatakommune[[#This Row],[S06-O]]-1</f>
        <v>5.0142450142450112E-2</v>
      </c>
      <c r="T46" s="32">
        <f>Rådatakommune[[#This Row],[Y16-O]]/Rådatakommune[[#This Row],[Folk20-64-O]]</f>
        <v>0.82793751414987549</v>
      </c>
    </row>
    <row r="47" spans="1:20" x14ac:dyDescent="0.25">
      <c r="A47" s="2" t="s">
        <v>46</v>
      </c>
      <c r="B47" s="2">
        <v>46</v>
      </c>
      <c r="C47" s="35">
        <v>18642</v>
      </c>
      <c r="D47" s="34">
        <v>20317</v>
      </c>
      <c r="E47" s="31">
        <v>9755</v>
      </c>
      <c r="F47" s="36">
        <v>3451</v>
      </c>
      <c r="G47" s="37">
        <v>2361</v>
      </c>
      <c r="H47">
        <v>11685</v>
      </c>
      <c r="I47" s="31">
        <v>6517</v>
      </c>
      <c r="J47" s="31">
        <v>7023</v>
      </c>
      <c r="K47" s="7">
        <v>724.28</v>
      </c>
      <c r="L47" s="38">
        <v>387400</v>
      </c>
      <c r="M47" s="39">
        <v>74.25</v>
      </c>
      <c r="N47">
        <v>4</v>
      </c>
      <c r="O47" s="30">
        <f>Rådatakommune[[#This Row],[B17-O]]/Rådatakommune[[#This Row],[Totalareal2017-O]]</f>
        <v>28.051306124703153</v>
      </c>
      <c r="P47" s="32">
        <f>Rådatakommune[[#This Row],[B17-O]]/Rådatakommune[[#This Row],[B07-O]]-1</f>
        <v>8.9850874369702849E-2</v>
      </c>
      <c r="Q47" s="32">
        <f>Rådatakommune[[#This Row],[Kvinner20-39-O]]/Rådatakommune[[#This Row],[B17-O]]</f>
        <v>0.11620810158980165</v>
      </c>
      <c r="R47" s="32">
        <f>Rådatakommune[[#This Row],[Eldre67+-O]]/Rådatakommune[[#This Row],[B17-O]]</f>
        <v>0.16985775458975241</v>
      </c>
      <c r="S47" s="32">
        <f>Rådatakommune[[#This Row],[S16-O]]/Rådatakommune[[#This Row],[S06-O]]-1</f>
        <v>7.7643087310111936E-2</v>
      </c>
      <c r="T47" s="32">
        <f>Rådatakommune[[#This Row],[Y16-O]]/Rådatakommune[[#This Row],[Folk20-64-O]]</f>
        <v>0.83483097988874622</v>
      </c>
    </row>
    <row r="48" spans="1:20" x14ac:dyDescent="0.25">
      <c r="A48" s="2" t="s">
        <v>47</v>
      </c>
      <c r="B48" s="2">
        <v>47</v>
      </c>
      <c r="C48" s="35">
        <v>5055</v>
      </c>
      <c r="D48" s="34">
        <v>5100</v>
      </c>
      <c r="E48" s="31">
        <v>2279</v>
      </c>
      <c r="F48" s="36">
        <v>1060</v>
      </c>
      <c r="G48" s="37">
        <v>464</v>
      </c>
      <c r="H48">
        <v>2826</v>
      </c>
      <c r="I48" s="31">
        <v>1504</v>
      </c>
      <c r="J48" s="31">
        <v>1611</v>
      </c>
      <c r="K48" s="7">
        <v>508.14</v>
      </c>
      <c r="L48" s="38">
        <v>363400</v>
      </c>
      <c r="M48" s="39">
        <v>68.453125</v>
      </c>
      <c r="N48">
        <v>5</v>
      </c>
      <c r="O48" s="30">
        <f>Rådatakommune[[#This Row],[B17-O]]/Rådatakommune[[#This Row],[Totalareal2017-O]]</f>
        <v>10.036604085488252</v>
      </c>
      <c r="P48" s="32">
        <f>Rådatakommune[[#This Row],[B17-O]]/Rådatakommune[[#This Row],[B07-O]]-1</f>
        <v>8.9020771513352859E-3</v>
      </c>
      <c r="Q48" s="32">
        <f>Rådatakommune[[#This Row],[Kvinner20-39-O]]/Rådatakommune[[#This Row],[B17-O]]</f>
        <v>9.0980392156862738E-2</v>
      </c>
      <c r="R48" s="32">
        <f>Rådatakommune[[#This Row],[Eldre67+-O]]/Rådatakommune[[#This Row],[B17-O]]</f>
        <v>0.20784313725490197</v>
      </c>
      <c r="S48" s="32">
        <f>Rådatakommune[[#This Row],[S16-O]]/Rådatakommune[[#This Row],[S06-O]]-1</f>
        <v>7.1143617021276695E-2</v>
      </c>
      <c r="T48" s="32">
        <f>Rådatakommune[[#This Row],[Y16-O]]/Rådatakommune[[#This Row],[Folk20-64-O]]</f>
        <v>0.80644019815994339</v>
      </c>
    </row>
    <row r="49" spans="1:20" x14ac:dyDescent="0.25">
      <c r="A49" s="2" t="s">
        <v>48</v>
      </c>
      <c r="B49" s="2">
        <v>48</v>
      </c>
      <c r="C49" s="35">
        <v>7754</v>
      </c>
      <c r="D49" s="34">
        <v>7866</v>
      </c>
      <c r="E49" s="31">
        <v>3832</v>
      </c>
      <c r="F49" s="36">
        <v>1358</v>
      </c>
      <c r="G49" s="37">
        <v>850</v>
      </c>
      <c r="H49">
        <v>4621</v>
      </c>
      <c r="I49" s="31">
        <v>2431</v>
      </c>
      <c r="J49" s="31">
        <v>2415</v>
      </c>
      <c r="K49" s="7">
        <v>516.74</v>
      </c>
      <c r="L49" s="38">
        <v>387500</v>
      </c>
      <c r="M49" s="39">
        <v>57.7890625</v>
      </c>
      <c r="N49">
        <v>5</v>
      </c>
      <c r="O49" s="30">
        <f>Rådatakommune[[#This Row],[B17-O]]/Rådatakommune[[#This Row],[Totalareal2017-O]]</f>
        <v>15.222355536633509</v>
      </c>
      <c r="P49" s="32">
        <f>Rådatakommune[[#This Row],[B17-O]]/Rådatakommune[[#This Row],[B07-O]]-1</f>
        <v>1.4444157854010875E-2</v>
      </c>
      <c r="Q49" s="32">
        <f>Rådatakommune[[#This Row],[Kvinner20-39-O]]/Rådatakommune[[#This Row],[B17-O]]</f>
        <v>0.10806000508517671</v>
      </c>
      <c r="R49" s="32">
        <f>Rådatakommune[[#This Row],[Eldre67+-O]]/Rådatakommune[[#This Row],[B17-O]]</f>
        <v>0.17264174930078821</v>
      </c>
      <c r="S49" s="32">
        <f>Rådatakommune[[#This Row],[S16-O]]/Rådatakommune[[#This Row],[S06-O]]-1</f>
        <v>-6.5816536404771364E-3</v>
      </c>
      <c r="T49" s="32">
        <f>Rådatakommune[[#This Row],[Y16-O]]/Rådatakommune[[#This Row],[Folk20-64-O]]</f>
        <v>0.82925773642068812</v>
      </c>
    </row>
    <row r="50" spans="1:20" x14ac:dyDescent="0.25">
      <c r="A50" s="2" t="s">
        <v>49</v>
      </c>
      <c r="B50" s="2">
        <v>49</v>
      </c>
      <c r="C50" s="35">
        <v>6385</v>
      </c>
      <c r="D50" s="34">
        <v>6127</v>
      </c>
      <c r="E50" s="31">
        <v>2734</v>
      </c>
      <c r="F50" s="36">
        <v>1283</v>
      </c>
      <c r="G50" s="37">
        <v>556</v>
      </c>
      <c r="H50">
        <v>3478</v>
      </c>
      <c r="I50" s="31">
        <v>1981</v>
      </c>
      <c r="J50" s="31">
        <v>1833</v>
      </c>
      <c r="K50" s="7">
        <v>640.39</v>
      </c>
      <c r="L50" s="38">
        <v>347100</v>
      </c>
      <c r="M50" s="39">
        <v>85.84375</v>
      </c>
      <c r="N50">
        <v>5</v>
      </c>
      <c r="O50" s="30">
        <f>Rådatakommune[[#This Row],[B17-O]]/Rådatakommune[[#This Row],[Totalareal2017-O]]</f>
        <v>9.5676072393385283</v>
      </c>
      <c r="P50" s="32">
        <f>Rådatakommune[[#This Row],[B17-O]]/Rådatakommune[[#This Row],[B07-O]]-1</f>
        <v>-4.0407204385278006E-2</v>
      </c>
      <c r="Q50" s="32">
        <f>Rådatakommune[[#This Row],[Kvinner20-39-O]]/Rådatakommune[[#This Row],[B17-O]]</f>
        <v>9.0745878896686796E-2</v>
      </c>
      <c r="R50" s="32">
        <f>Rådatakommune[[#This Row],[Eldre67+-O]]/Rådatakommune[[#This Row],[B17-O]]</f>
        <v>0.20940101191447691</v>
      </c>
      <c r="S50" s="32">
        <f>Rådatakommune[[#This Row],[S16-O]]/Rådatakommune[[#This Row],[S06-O]]-1</f>
        <v>-7.4709742554265546E-2</v>
      </c>
      <c r="T50" s="32">
        <f>Rådatakommune[[#This Row],[Y16-O]]/Rådatakommune[[#This Row],[Folk20-64-O]]</f>
        <v>0.78608395629672223</v>
      </c>
    </row>
    <row r="51" spans="1:20" x14ac:dyDescent="0.25">
      <c r="A51" s="2" t="s">
        <v>50</v>
      </c>
      <c r="B51" s="2">
        <v>50</v>
      </c>
      <c r="C51" s="35">
        <v>5152</v>
      </c>
      <c r="D51" s="34">
        <v>4777</v>
      </c>
      <c r="E51" s="31">
        <v>2089</v>
      </c>
      <c r="F51" s="36">
        <v>1165</v>
      </c>
      <c r="G51" s="37">
        <v>393</v>
      </c>
      <c r="H51">
        <v>2610</v>
      </c>
      <c r="I51" s="31">
        <v>1995</v>
      </c>
      <c r="J51" s="31">
        <v>1886</v>
      </c>
      <c r="K51" s="7">
        <v>837.17</v>
      </c>
      <c r="L51" s="38">
        <v>355900</v>
      </c>
      <c r="M51" s="39">
        <v>98.890625</v>
      </c>
      <c r="N51">
        <v>6</v>
      </c>
      <c r="O51" s="30">
        <f>Rådatakommune[[#This Row],[B17-O]]/Rådatakommune[[#This Row],[Totalareal2017-O]]</f>
        <v>5.7061289821661072</v>
      </c>
      <c r="P51" s="32">
        <f>Rådatakommune[[#This Row],[B17-O]]/Rådatakommune[[#This Row],[B07-O]]-1</f>
        <v>-7.2787267080745344E-2</v>
      </c>
      <c r="Q51" s="32">
        <f>Rådatakommune[[#This Row],[Kvinner20-39-O]]/Rådatakommune[[#This Row],[B17-O]]</f>
        <v>8.2269206615030357E-2</v>
      </c>
      <c r="R51" s="32">
        <f>Rådatakommune[[#This Row],[Eldre67+-O]]/Rådatakommune[[#This Row],[B17-O]]</f>
        <v>0.24387691019468286</v>
      </c>
      <c r="S51" s="32">
        <f>Rådatakommune[[#This Row],[S16-O]]/Rådatakommune[[#This Row],[S06-O]]-1</f>
        <v>-5.4636591478696706E-2</v>
      </c>
      <c r="T51" s="32">
        <f>Rådatakommune[[#This Row],[Y16-O]]/Rådatakommune[[#This Row],[Folk20-64-O]]</f>
        <v>0.80038314176245207</v>
      </c>
    </row>
    <row r="52" spans="1:20" x14ac:dyDescent="0.25">
      <c r="A52" s="2" t="s">
        <v>51</v>
      </c>
      <c r="B52" s="2">
        <v>51</v>
      </c>
      <c r="C52" s="35">
        <v>7604</v>
      </c>
      <c r="D52" s="34">
        <v>7329</v>
      </c>
      <c r="E52" s="31">
        <v>3256</v>
      </c>
      <c r="F52" s="36">
        <v>1705</v>
      </c>
      <c r="G52" s="37">
        <v>685</v>
      </c>
      <c r="H52">
        <v>4022</v>
      </c>
      <c r="I52" s="31">
        <v>2968</v>
      </c>
      <c r="J52" s="31">
        <v>2784</v>
      </c>
      <c r="K52" s="7">
        <v>1040.94</v>
      </c>
      <c r="L52" s="38">
        <v>349100</v>
      </c>
      <c r="M52" s="39">
        <v>115.546875</v>
      </c>
      <c r="N52">
        <v>5</v>
      </c>
      <c r="O52" s="30">
        <f>Rådatakommune[[#This Row],[B17-O]]/Rådatakommune[[#This Row],[Totalareal2017-O]]</f>
        <v>7.0407516283359266</v>
      </c>
      <c r="P52" s="32">
        <f>Rådatakommune[[#This Row],[B17-O]]/Rådatakommune[[#This Row],[B07-O]]-1</f>
        <v>-3.6165176223040496E-2</v>
      </c>
      <c r="Q52" s="32">
        <f>Rådatakommune[[#This Row],[Kvinner20-39-O]]/Rådatakommune[[#This Row],[B17-O]]</f>
        <v>9.3464319825351347E-2</v>
      </c>
      <c r="R52" s="32">
        <f>Rådatakommune[[#This Row],[Eldre67+-O]]/Rådatakommune[[#This Row],[B17-O]]</f>
        <v>0.23263746759448764</v>
      </c>
      <c r="S52" s="32">
        <f>Rådatakommune[[#This Row],[S16-O]]/Rådatakommune[[#This Row],[S06-O]]-1</f>
        <v>-6.1994609164420456E-2</v>
      </c>
      <c r="T52" s="32">
        <f>Rådatakommune[[#This Row],[Y16-O]]/Rådatakommune[[#This Row],[Folk20-64-O]]</f>
        <v>0.8095474888115366</v>
      </c>
    </row>
    <row r="53" spans="1:20" x14ac:dyDescent="0.25">
      <c r="A53" s="2" t="s">
        <v>52</v>
      </c>
      <c r="B53" s="2">
        <v>52</v>
      </c>
      <c r="C53" s="35">
        <v>3877</v>
      </c>
      <c r="D53" s="34">
        <v>3743</v>
      </c>
      <c r="E53" s="31">
        <v>1676</v>
      </c>
      <c r="F53" s="36">
        <v>855</v>
      </c>
      <c r="G53" s="37">
        <v>309</v>
      </c>
      <c r="H53">
        <v>2082</v>
      </c>
      <c r="I53" s="31">
        <v>1519</v>
      </c>
      <c r="J53" s="31">
        <v>1434</v>
      </c>
      <c r="K53" s="7">
        <v>705.28</v>
      </c>
      <c r="L53" s="38">
        <v>359100</v>
      </c>
      <c r="M53" s="39">
        <v>120.40625</v>
      </c>
      <c r="N53">
        <v>5</v>
      </c>
      <c r="O53" s="30">
        <f>Rådatakommune[[#This Row],[B17-O]]/Rådatakommune[[#This Row],[Totalareal2017-O]]</f>
        <v>5.3071120689655178</v>
      </c>
      <c r="P53" s="32">
        <f>Rådatakommune[[#This Row],[B17-O]]/Rådatakommune[[#This Row],[B07-O]]-1</f>
        <v>-3.4562806293525927E-2</v>
      </c>
      <c r="Q53" s="32">
        <f>Rådatakommune[[#This Row],[Kvinner20-39-O]]/Rådatakommune[[#This Row],[B17-O]]</f>
        <v>8.2554100988511889E-2</v>
      </c>
      <c r="R53" s="32">
        <f>Rådatakommune[[#This Row],[Eldre67+-O]]/Rådatakommune[[#This Row],[B17-O]]</f>
        <v>0.22842639593908629</v>
      </c>
      <c r="S53" s="32">
        <f>Rådatakommune[[#This Row],[S16-O]]/Rådatakommune[[#This Row],[S06-O]]-1</f>
        <v>-5.5957867017774832E-2</v>
      </c>
      <c r="T53" s="32">
        <f>Rådatakommune[[#This Row],[Y16-O]]/Rådatakommune[[#This Row],[Folk20-64-O]]</f>
        <v>0.80499519692603261</v>
      </c>
    </row>
    <row r="54" spans="1:20" x14ac:dyDescent="0.25">
      <c r="A54" s="2" t="s">
        <v>53</v>
      </c>
      <c r="B54" s="2">
        <v>53</v>
      </c>
      <c r="C54" s="35">
        <v>19260</v>
      </c>
      <c r="D54" s="34">
        <v>21086</v>
      </c>
      <c r="E54" s="31">
        <v>10112</v>
      </c>
      <c r="F54" s="36">
        <v>3568</v>
      </c>
      <c r="G54" s="37">
        <v>2644</v>
      </c>
      <c r="H54">
        <v>12188</v>
      </c>
      <c r="I54" s="31">
        <v>9096</v>
      </c>
      <c r="J54" s="31">
        <v>9839</v>
      </c>
      <c r="K54" s="7">
        <v>1229.2900000000002</v>
      </c>
      <c r="L54" s="38">
        <v>391300</v>
      </c>
      <c r="M54" s="39">
        <v>95.578125</v>
      </c>
      <c r="N54">
        <v>5</v>
      </c>
      <c r="O54" s="30">
        <f>Rådatakommune[[#This Row],[B17-O]]/Rådatakommune[[#This Row],[Totalareal2017-O]]</f>
        <v>17.152990750758565</v>
      </c>
      <c r="P54" s="32">
        <f>Rådatakommune[[#This Row],[B17-O]]/Rådatakommune[[#This Row],[B07-O]]-1</f>
        <v>9.4807892004153738E-2</v>
      </c>
      <c r="Q54" s="32">
        <f>Rådatakommune[[#This Row],[Kvinner20-39-O]]/Rådatakommune[[#This Row],[B17-O]]</f>
        <v>0.12539125486104524</v>
      </c>
      <c r="R54" s="32">
        <f>Rådatakommune[[#This Row],[Eldre67+-O]]/Rådatakommune[[#This Row],[B17-O]]</f>
        <v>0.1692117992981125</v>
      </c>
      <c r="S54" s="32">
        <f>Rådatakommune[[#This Row],[S16-O]]/Rådatakommune[[#This Row],[S06-O]]-1</f>
        <v>8.1684256816182854E-2</v>
      </c>
      <c r="T54" s="32">
        <f>Rådatakommune[[#This Row],[Y16-O]]/Rådatakommune[[#This Row],[Folk20-64-O]]</f>
        <v>0.8296685264194289</v>
      </c>
    </row>
    <row r="55" spans="1:20" x14ac:dyDescent="0.25">
      <c r="A55" s="2" t="s">
        <v>54</v>
      </c>
      <c r="B55" s="2">
        <v>54</v>
      </c>
      <c r="C55" s="35">
        <v>6782</v>
      </c>
      <c r="D55" s="34">
        <v>6550</v>
      </c>
      <c r="E55" s="31">
        <v>3035</v>
      </c>
      <c r="F55" s="36">
        <v>1461</v>
      </c>
      <c r="G55" s="37">
        <v>632</v>
      </c>
      <c r="H55">
        <v>3642</v>
      </c>
      <c r="I55" s="31">
        <v>2870</v>
      </c>
      <c r="J55" s="31">
        <v>2790</v>
      </c>
      <c r="K55" s="7">
        <v>3014.37</v>
      </c>
      <c r="L55" s="38">
        <v>348100</v>
      </c>
      <c r="M55" s="39">
        <v>148.5</v>
      </c>
      <c r="N55">
        <v>9</v>
      </c>
      <c r="O55" s="30">
        <f>Rådatakommune[[#This Row],[B17-O]]/Rådatakommune[[#This Row],[Totalareal2017-O]]</f>
        <v>2.1729250224756749</v>
      </c>
      <c r="P55" s="32">
        <f>Rådatakommune[[#This Row],[B17-O]]/Rådatakommune[[#This Row],[B07-O]]-1</f>
        <v>-3.4208198171630788E-2</v>
      </c>
      <c r="Q55" s="32">
        <f>Rådatakommune[[#This Row],[Kvinner20-39-O]]/Rådatakommune[[#This Row],[B17-O]]</f>
        <v>9.648854961832061E-2</v>
      </c>
      <c r="R55" s="32">
        <f>Rådatakommune[[#This Row],[Eldre67+-O]]/Rådatakommune[[#This Row],[B17-O]]</f>
        <v>0.22305343511450382</v>
      </c>
      <c r="S55" s="32">
        <f>Rådatakommune[[#This Row],[S16-O]]/Rådatakommune[[#This Row],[S06-O]]-1</f>
        <v>-2.7874564459930307E-2</v>
      </c>
      <c r="T55" s="32">
        <f>Rådatakommune[[#This Row],[Y16-O]]/Rådatakommune[[#This Row],[Folk20-64-O]]</f>
        <v>0.83333333333333337</v>
      </c>
    </row>
    <row r="56" spans="1:20" x14ac:dyDescent="0.25">
      <c r="A56" s="2" t="s">
        <v>55</v>
      </c>
      <c r="B56" s="2">
        <v>55</v>
      </c>
      <c r="C56" s="35">
        <v>4284</v>
      </c>
      <c r="D56" s="34">
        <v>4518</v>
      </c>
      <c r="E56" s="31">
        <v>2092</v>
      </c>
      <c r="F56" s="36">
        <v>803</v>
      </c>
      <c r="G56" s="37">
        <v>515</v>
      </c>
      <c r="H56">
        <v>2611</v>
      </c>
      <c r="I56" s="31">
        <v>1736</v>
      </c>
      <c r="J56" s="31">
        <v>1868</v>
      </c>
      <c r="K56" s="7">
        <v>1339.9199999999998</v>
      </c>
      <c r="L56" s="38">
        <v>367100</v>
      </c>
      <c r="M56" s="39">
        <v>119.375</v>
      </c>
      <c r="N56">
        <v>5</v>
      </c>
      <c r="O56" s="30">
        <f>Rådatakommune[[#This Row],[B17-O]]/Rådatakommune[[#This Row],[Totalareal2017-O]]</f>
        <v>3.3718430951101563</v>
      </c>
      <c r="P56" s="32">
        <f>Rådatakommune[[#This Row],[B17-O]]/Rådatakommune[[#This Row],[B07-O]]-1</f>
        <v>5.4621848739495826E-2</v>
      </c>
      <c r="Q56" s="32">
        <f>Rådatakommune[[#This Row],[Kvinner20-39-O]]/Rådatakommune[[#This Row],[B17-O]]</f>
        <v>0.11398849048251439</v>
      </c>
      <c r="R56" s="32">
        <f>Rådatakommune[[#This Row],[Eldre67+-O]]/Rådatakommune[[#This Row],[B17-O]]</f>
        <v>0.17773351040283311</v>
      </c>
      <c r="S56" s="32">
        <f>Rådatakommune[[#This Row],[S16-O]]/Rådatakommune[[#This Row],[S06-O]]-1</f>
        <v>7.6036866359447064E-2</v>
      </c>
      <c r="T56" s="32">
        <f>Rådatakommune[[#This Row],[Y16-O]]/Rådatakommune[[#This Row],[Folk20-64-O]]</f>
        <v>0.80122558406740707</v>
      </c>
    </row>
    <row r="57" spans="1:20" x14ac:dyDescent="0.25">
      <c r="A57" s="2" t="s">
        <v>56</v>
      </c>
      <c r="B57" s="2">
        <v>56</v>
      </c>
      <c r="C57" s="35">
        <v>2705</v>
      </c>
      <c r="D57" s="34">
        <v>2530</v>
      </c>
      <c r="E57" s="31">
        <v>1082</v>
      </c>
      <c r="F57" s="36">
        <v>590</v>
      </c>
      <c r="G57" s="37">
        <v>245</v>
      </c>
      <c r="H57">
        <v>1403</v>
      </c>
      <c r="I57" s="31">
        <v>1070</v>
      </c>
      <c r="J57" s="31">
        <v>993</v>
      </c>
      <c r="K57" s="7">
        <v>2165.7799999999997</v>
      </c>
      <c r="L57" s="38">
        <v>319400</v>
      </c>
      <c r="M57" s="39">
        <v>163.25</v>
      </c>
      <c r="N57">
        <v>11</v>
      </c>
      <c r="O57" s="30">
        <f>Rådatakommune[[#This Row],[B17-O]]/Rådatakommune[[#This Row],[Totalareal2017-O]]</f>
        <v>1.1681703589468921</v>
      </c>
      <c r="P57" s="32">
        <f>Rådatakommune[[#This Row],[B17-O]]/Rådatakommune[[#This Row],[B07-O]]-1</f>
        <v>-6.4695009242144219E-2</v>
      </c>
      <c r="Q57" s="32">
        <f>Rådatakommune[[#This Row],[Kvinner20-39-O]]/Rådatakommune[[#This Row],[B17-O]]</f>
        <v>9.6837944664031617E-2</v>
      </c>
      <c r="R57" s="32">
        <f>Rådatakommune[[#This Row],[Eldre67+-O]]/Rådatakommune[[#This Row],[B17-O]]</f>
        <v>0.233201581027668</v>
      </c>
      <c r="S57" s="32">
        <f>Rådatakommune[[#This Row],[S16-O]]/Rådatakommune[[#This Row],[S06-O]]-1</f>
        <v>-7.1962616822429881E-2</v>
      </c>
      <c r="T57" s="32">
        <f>Rådatakommune[[#This Row],[Y16-O]]/Rådatakommune[[#This Row],[Folk20-64-O]]</f>
        <v>0.77120456165359941</v>
      </c>
    </row>
    <row r="58" spans="1:20" x14ac:dyDescent="0.25">
      <c r="A58" s="2" t="s">
        <v>57</v>
      </c>
      <c r="B58" s="2">
        <v>57</v>
      </c>
      <c r="C58" s="35">
        <v>2055</v>
      </c>
      <c r="D58" s="34">
        <v>1858</v>
      </c>
      <c r="E58" s="31">
        <v>836</v>
      </c>
      <c r="F58" s="36">
        <v>464</v>
      </c>
      <c r="G58" s="37">
        <v>148</v>
      </c>
      <c r="H58">
        <v>968</v>
      </c>
      <c r="I58" s="31">
        <v>776</v>
      </c>
      <c r="J58" s="31">
        <v>608</v>
      </c>
      <c r="K58" s="7">
        <v>3179.52</v>
      </c>
      <c r="L58" s="38">
        <v>348600</v>
      </c>
      <c r="M58" s="39">
        <v>194.5625</v>
      </c>
      <c r="N58">
        <v>8</v>
      </c>
      <c r="O58" s="30">
        <f>Rådatakommune[[#This Row],[B17-O]]/Rådatakommune[[#This Row],[Totalareal2017-O]]</f>
        <v>0.5843649355877617</v>
      </c>
      <c r="P58" s="32">
        <f>Rådatakommune[[#This Row],[B17-O]]/Rådatakommune[[#This Row],[B07-O]]-1</f>
        <v>-9.5863746958637419E-2</v>
      </c>
      <c r="Q58" s="32">
        <f>Rådatakommune[[#This Row],[Kvinner20-39-O]]/Rådatakommune[[#This Row],[B17-O]]</f>
        <v>7.9655543595263723E-2</v>
      </c>
      <c r="R58" s="32">
        <f>Rådatakommune[[#This Row],[Eldre67+-O]]/Rådatakommune[[#This Row],[B17-O]]</f>
        <v>0.24973089343379978</v>
      </c>
      <c r="S58" s="32">
        <f>Rådatakommune[[#This Row],[S16-O]]/Rådatakommune[[#This Row],[S06-O]]-1</f>
        <v>-0.21649484536082475</v>
      </c>
      <c r="T58" s="32">
        <f>Rådatakommune[[#This Row],[Y16-O]]/Rådatakommune[[#This Row],[Folk20-64-O]]</f>
        <v>0.86363636363636365</v>
      </c>
    </row>
    <row r="59" spans="1:20" x14ac:dyDescent="0.25">
      <c r="A59" s="2" t="s">
        <v>58</v>
      </c>
      <c r="B59" s="2">
        <v>58</v>
      </c>
      <c r="C59" s="35">
        <v>1460</v>
      </c>
      <c r="D59" s="34">
        <v>1274</v>
      </c>
      <c r="E59" s="31">
        <v>607</v>
      </c>
      <c r="F59" s="36">
        <v>328</v>
      </c>
      <c r="G59" s="37">
        <v>95</v>
      </c>
      <c r="H59">
        <v>667</v>
      </c>
      <c r="I59" s="31">
        <v>634</v>
      </c>
      <c r="J59" s="31">
        <v>514</v>
      </c>
      <c r="K59" s="7">
        <v>2196.54</v>
      </c>
      <c r="L59" s="38">
        <v>327900</v>
      </c>
      <c r="M59" s="39">
        <v>189.125</v>
      </c>
      <c r="N59">
        <v>9</v>
      </c>
      <c r="O59" s="30">
        <f>Rådatakommune[[#This Row],[B17-O]]/Rådatakommune[[#This Row],[Totalareal2017-O]]</f>
        <v>0.58000309577790521</v>
      </c>
      <c r="P59" s="32">
        <f>Rådatakommune[[#This Row],[B17-O]]/Rådatakommune[[#This Row],[B07-O]]-1</f>
        <v>-0.12739726027397258</v>
      </c>
      <c r="Q59" s="32">
        <f>Rådatakommune[[#This Row],[Kvinner20-39-O]]/Rådatakommune[[#This Row],[B17-O]]</f>
        <v>7.4568288854003142E-2</v>
      </c>
      <c r="R59" s="32">
        <f>Rådatakommune[[#This Row],[Eldre67+-O]]/Rådatakommune[[#This Row],[B17-O]]</f>
        <v>0.25745682888540034</v>
      </c>
      <c r="S59" s="32">
        <f>Rådatakommune[[#This Row],[S16-O]]/Rådatakommune[[#This Row],[S06-O]]-1</f>
        <v>-0.18927444794952686</v>
      </c>
      <c r="T59" s="32">
        <f>Rådatakommune[[#This Row],[Y16-O]]/Rådatakommune[[#This Row],[Folk20-64-O]]</f>
        <v>0.91004497751124436</v>
      </c>
    </row>
    <row r="60" spans="1:20" x14ac:dyDescent="0.25">
      <c r="A60" s="2" t="s">
        <v>59</v>
      </c>
      <c r="B60" s="2">
        <v>59</v>
      </c>
      <c r="C60" s="35">
        <v>1707</v>
      </c>
      <c r="D60" s="34">
        <v>1620</v>
      </c>
      <c r="E60" s="31">
        <v>797</v>
      </c>
      <c r="F60" s="36">
        <v>282</v>
      </c>
      <c r="G60" s="37">
        <v>158</v>
      </c>
      <c r="H60">
        <v>897</v>
      </c>
      <c r="I60" s="31">
        <v>631</v>
      </c>
      <c r="J60" s="31">
        <v>633</v>
      </c>
      <c r="K60" s="7">
        <v>1122.5900000000001</v>
      </c>
      <c r="L60" s="38">
        <v>349200</v>
      </c>
      <c r="M60" s="39">
        <v>184.9375</v>
      </c>
      <c r="N60">
        <v>8</v>
      </c>
      <c r="O60" s="30">
        <f>Rådatakommune[[#This Row],[B17-O]]/Rådatakommune[[#This Row],[Totalareal2017-O]]</f>
        <v>1.4430914225140077</v>
      </c>
      <c r="P60" s="32">
        <f>Rådatakommune[[#This Row],[B17-O]]/Rådatakommune[[#This Row],[B07-O]]-1</f>
        <v>-5.0966608084358489E-2</v>
      </c>
      <c r="Q60" s="32">
        <f>Rådatakommune[[#This Row],[Kvinner20-39-O]]/Rådatakommune[[#This Row],[B17-O]]</f>
        <v>9.7530864197530862E-2</v>
      </c>
      <c r="R60" s="32">
        <f>Rådatakommune[[#This Row],[Eldre67+-O]]/Rådatakommune[[#This Row],[B17-O]]</f>
        <v>0.17407407407407408</v>
      </c>
      <c r="S60" s="32">
        <f>Rådatakommune[[#This Row],[S16-O]]/Rådatakommune[[#This Row],[S06-O]]-1</f>
        <v>3.1695721077653616E-3</v>
      </c>
      <c r="T60" s="32">
        <f>Rådatakommune[[#This Row],[Y16-O]]/Rådatakommune[[#This Row],[Folk20-64-O]]</f>
        <v>0.88851727982162765</v>
      </c>
    </row>
    <row r="61" spans="1:20" x14ac:dyDescent="0.25">
      <c r="A61" s="2" t="s">
        <v>60</v>
      </c>
      <c r="B61" s="2">
        <v>60</v>
      </c>
      <c r="C61" s="35">
        <v>5371</v>
      </c>
      <c r="D61" s="34">
        <v>5584</v>
      </c>
      <c r="E61" s="31">
        <v>2885</v>
      </c>
      <c r="F61" s="36">
        <v>949</v>
      </c>
      <c r="G61" s="37">
        <v>582</v>
      </c>
      <c r="H61">
        <v>3125</v>
      </c>
      <c r="I61" s="31">
        <v>3171</v>
      </c>
      <c r="J61" s="31">
        <v>3139</v>
      </c>
      <c r="K61" s="7">
        <v>1880.51</v>
      </c>
      <c r="L61" s="38">
        <v>378100</v>
      </c>
      <c r="M61" s="39">
        <v>201.59375</v>
      </c>
      <c r="N61">
        <v>8</v>
      </c>
      <c r="O61" s="30">
        <f>Rådatakommune[[#This Row],[B17-O]]/Rådatakommune[[#This Row],[Totalareal2017-O]]</f>
        <v>2.9694072352712828</v>
      </c>
      <c r="P61" s="32">
        <f>Rådatakommune[[#This Row],[B17-O]]/Rådatakommune[[#This Row],[B07-O]]-1</f>
        <v>3.9657419474958155E-2</v>
      </c>
      <c r="Q61" s="32">
        <f>Rådatakommune[[#This Row],[Kvinner20-39-O]]/Rådatakommune[[#This Row],[B17-O]]</f>
        <v>0.10422636103151862</v>
      </c>
      <c r="R61" s="32">
        <f>Rådatakommune[[#This Row],[Eldre67+-O]]/Rådatakommune[[#This Row],[B17-O]]</f>
        <v>0.16994985673352436</v>
      </c>
      <c r="S61" s="32">
        <f>Rådatakommune[[#This Row],[S16-O]]/Rådatakommune[[#This Row],[S06-O]]-1</f>
        <v>-1.0091453800063044E-2</v>
      </c>
      <c r="T61" s="32">
        <f>Rådatakommune[[#This Row],[Y16-O]]/Rådatakommune[[#This Row],[Folk20-64-O]]</f>
        <v>0.92320000000000002</v>
      </c>
    </row>
    <row r="62" spans="1:20" x14ac:dyDescent="0.25">
      <c r="A62" s="2" t="s">
        <v>61</v>
      </c>
      <c r="B62" s="2">
        <v>61</v>
      </c>
      <c r="C62" s="35">
        <v>2430</v>
      </c>
      <c r="D62" s="34">
        <v>2441</v>
      </c>
      <c r="E62" s="31">
        <v>1272</v>
      </c>
      <c r="F62" s="36">
        <v>409</v>
      </c>
      <c r="G62" s="37">
        <v>258</v>
      </c>
      <c r="H62">
        <v>1337</v>
      </c>
      <c r="I62" s="31">
        <v>1118</v>
      </c>
      <c r="J62" s="31">
        <v>1259</v>
      </c>
      <c r="K62" s="7">
        <v>942.15</v>
      </c>
      <c r="L62" s="38">
        <v>378000</v>
      </c>
      <c r="M62" s="39">
        <v>220.375</v>
      </c>
      <c r="N62">
        <v>8</v>
      </c>
      <c r="O62" s="30">
        <f>Rådatakommune[[#This Row],[B17-O]]/Rådatakommune[[#This Row],[Totalareal2017-O]]</f>
        <v>2.590882555856286</v>
      </c>
      <c r="P62" s="32">
        <f>Rådatakommune[[#This Row],[B17-O]]/Rådatakommune[[#This Row],[B07-O]]-1</f>
        <v>4.5267489711933173E-3</v>
      </c>
      <c r="Q62" s="32">
        <f>Rådatakommune[[#This Row],[Kvinner20-39-O]]/Rådatakommune[[#This Row],[B17-O]]</f>
        <v>0.10569438754608768</v>
      </c>
      <c r="R62" s="32">
        <f>Rådatakommune[[#This Row],[Eldre67+-O]]/Rådatakommune[[#This Row],[B17-O]]</f>
        <v>0.16755428103236378</v>
      </c>
      <c r="S62" s="32">
        <f>Rådatakommune[[#This Row],[S16-O]]/Rådatakommune[[#This Row],[S06-O]]-1</f>
        <v>0.1261180679785332</v>
      </c>
      <c r="T62" s="32">
        <f>Rådatakommune[[#This Row],[Y16-O]]/Rådatakommune[[#This Row],[Folk20-64-O]]</f>
        <v>0.95138369483919227</v>
      </c>
    </row>
    <row r="63" spans="1:20" x14ac:dyDescent="0.25">
      <c r="A63" s="2" t="s">
        <v>62</v>
      </c>
      <c r="B63" s="2">
        <v>62</v>
      </c>
      <c r="C63" s="35">
        <v>1695</v>
      </c>
      <c r="D63" s="34">
        <v>1577</v>
      </c>
      <c r="E63" s="31">
        <v>773</v>
      </c>
      <c r="F63" s="36">
        <v>387</v>
      </c>
      <c r="G63" s="37">
        <v>125</v>
      </c>
      <c r="H63">
        <v>822</v>
      </c>
      <c r="I63" s="31">
        <v>746</v>
      </c>
      <c r="J63" s="31">
        <v>617</v>
      </c>
      <c r="K63" s="7">
        <v>1276.8799999999999</v>
      </c>
      <c r="L63" s="38">
        <v>353800</v>
      </c>
      <c r="M63" s="39">
        <v>234.125</v>
      </c>
      <c r="N63">
        <v>8</v>
      </c>
      <c r="O63" s="30">
        <f>Rådatakommune[[#This Row],[B17-O]]/Rådatakommune[[#This Row],[Totalareal2017-O]]</f>
        <v>1.235041664056137</v>
      </c>
      <c r="P63" s="32">
        <f>Rådatakommune[[#This Row],[B17-O]]/Rådatakommune[[#This Row],[B07-O]]-1</f>
        <v>-6.9616519174041325E-2</v>
      </c>
      <c r="Q63" s="32">
        <f>Rådatakommune[[#This Row],[Kvinner20-39-O]]/Rådatakommune[[#This Row],[B17-O]]</f>
        <v>7.9264426125554857E-2</v>
      </c>
      <c r="R63" s="32">
        <f>Rådatakommune[[#This Row],[Eldre67+-O]]/Rådatakommune[[#This Row],[B17-O]]</f>
        <v>0.24540266328471783</v>
      </c>
      <c r="S63" s="32">
        <f>Rådatakommune[[#This Row],[S16-O]]/Rådatakommune[[#This Row],[S06-O]]-1</f>
        <v>-0.17292225201072386</v>
      </c>
      <c r="T63" s="32">
        <f>Rådatakommune[[#This Row],[Y16-O]]/Rådatakommune[[#This Row],[Folk20-64-O]]</f>
        <v>0.94038929440389296</v>
      </c>
    </row>
    <row r="64" spans="1:20" x14ac:dyDescent="0.25">
      <c r="A64" s="2" t="s">
        <v>63</v>
      </c>
      <c r="B64" s="2">
        <v>63</v>
      </c>
      <c r="C64" s="35">
        <v>2063</v>
      </c>
      <c r="D64" s="34">
        <v>1963</v>
      </c>
      <c r="E64" s="31">
        <v>1048</v>
      </c>
      <c r="F64" s="36">
        <v>397</v>
      </c>
      <c r="G64" s="37">
        <v>187</v>
      </c>
      <c r="H64">
        <v>1100</v>
      </c>
      <c r="I64" s="31">
        <v>789</v>
      </c>
      <c r="J64" s="31">
        <v>736</v>
      </c>
      <c r="K64" s="7">
        <v>1040.4000000000001</v>
      </c>
      <c r="L64" s="38">
        <v>354700</v>
      </c>
      <c r="M64" s="39">
        <v>170.28125</v>
      </c>
      <c r="N64">
        <v>9</v>
      </c>
      <c r="O64" s="30">
        <f>Rådatakommune[[#This Row],[B17-O]]/Rådatakommune[[#This Row],[Totalareal2017-O]]</f>
        <v>1.8867743175701652</v>
      </c>
      <c r="P64" s="32">
        <f>Rådatakommune[[#This Row],[B17-O]]/Rådatakommune[[#This Row],[B07-O]]-1</f>
        <v>-4.8473097430925871E-2</v>
      </c>
      <c r="Q64" s="32">
        <f>Rådatakommune[[#This Row],[Kvinner20-39-O]]/Rådatakommune[[#This Row],[B17-O]]</f>
        <v>9.5262353540499237E-2</v>
      </c>
      <c r="R64" s="32">
        <f>Rådatakommune[[#This Row],[Eldre67+-O]]/Rådatakommune[[#This Row],[B17-O]]</f>
        <v>0.2022414671421294</v>
      </c>
      <c r="S64" s="32">
        <f>Rådatakommune[[#This Row],[S16-O]]/Rådatakommune[[#This Row],[S06-O]]-1</f>
        <v>-6.7173637515842821E-2</v>
      </c>
      <c r="T64" s="32">
        <f>Rådatakommune[[#This Row],[Y16-O]]/Rådatakommune[[#This Row],[Folk20-64-O]]</f>
        <v>0.95272727272727276</v>
      </c>
    </row>
    <row r="65" spans="1:20" x14ac:dyDescent="0.25">
      <c r="A65" s="2" t="s">
        <v>64</v>
      </c>
      <c r="B65" s="2">
        <v>64</v>
      </c>
      <c r="C65" s="35">
        <v>25537</v>
      </c>
      <c r="D65" s="34">
        <v>27781</v>
      </c>
      <c r="E65" s="31">
        <v>14069</v>
      </c>
      <c r="F65" s="36">
        <v>4774</v>
      </c>
      <c r="G65" s="37">
        <v>3583</v>
      </c>
      <c r="H65">
        <v>16298</v>
      </c>
      <c r="I65" s="31">
        <v>15360</v>
      </c>
      <c r="J65" s="31">
        <v>16832</v>
      </c>
      <c r="K65" s="7">
        <v>478.17</v>
      </c>
      <c r="L65" s="38">
        <v>418900</v>
      </c>
      <c r="M65" s="39">
        <v>127.03125</v>
      </c>
      <c r="N65">
        <v>4</v>
      </c>
      <c r="O65" s="30">
        <f>Rådatakommune[[#This Row],[B17-O]]/Rådatakommune[[#This Row],[Totalareal2017-O]]</f>
        <v>58.098584185540709</v>
      </c>
      <c r="P65" s="32">
        <f>Rådatakommune[[#This Row],[B17-O]]/Rådatakommune[[#This Row],[B07-O]]-1</f>
        <v>8.7872498727336712E-2</v>
      </c>
      <c r="Q65" s="32">
        <f>Rådatakommune[[#This Row],[Kvinner20-39-O]]/Rådatakommune[[#This Row],[B17-O]]</f>
        <v>0.12897303912746122</v>
      </c>
      <c r="R65" s="32">
        <f>Rådatakommune[[#This Row],[Eldre67+-O]]/Rådatakommune[[#This Row],[B17-O]]</f>
        <v>0.17184406608833375</v>
      </c>
      <c r="S65" s="32">
        <f>Rådatakommune[[#This Row],[S16-O]]/Rådatakommune[[#This Row],[S06-O]]-1</f>
        <v>9.5833333333333437E-2</v>
      </c>
      <c r="T65" s="32">
        <f>Rådatakommune[[#This Row],[Y16-O]]/Rådatakommune[[#This Row],[Folk20-64-O]]</f>
        <v>0.8632347527303964</v>
      </c>
    </row>
    <row r="66" spans="1:20" x14ac:dyDescent="0.25">
      <c r="A66" s="2" t="s">
        <v>65</v>
      </c>
      <c r="B66" s="2">
        <v>65</v>
      </c>
      <c r="C66" s="35">
        <v>27931</v>
      </c>
      <c r="D66" s="34">
        <v>30319</v>
      </c>
      <c r="E66" s="31">
        <v>14622</v>
      </c>
      <c r="F66" s="36">
        <v>5083</v>
      </c>
      <c r="G66" s="37">
        <v>3628</v>
      </c>
      <c r="H66">
        <v>17650</v>
      </c>
      <c r="I66" s="31">
        <v>15636</v>
      </c>
      <c r="J66" s="31">
        <v>16605</v>
      </c>
      <c r="K66" s="7">
        <v>672.25</v>
      </c>
      <c r="L66" s="38">
        <v>395300</v>
      </c>
      <c r="M66" s="39">
        <v>105.71875</v>
      </c>
      <c r="N66">
        <v>4</v>
      </c>
      <c r="O66" s="30">
        <f>Rådatakommune[[#This Row],[B17-O]]/Rådatakommune[[#This Row],[Totalareal2017-O]]</f>
        <v>45.100780959464487</v>
      </c>
      <c r="P66" s="32">
        <f>Rådatakommune[[#This Row],[B17-O]]/Rådatakommune[[#This Row],[B07-O]]-1</f>
        <v>8.5496401847409587E-2</v>
      </c>
      <c r="Q66" s="32">
        <f>Rådatakommune[[#This Row],[Kvinner20-39-O]]/Rådatakommune[[#This Row],[B17-O]]</f>
        <v>0.11966093868531284</v>
      </c>
      <c r="R66" s="32">
        <f>Rådatakommune[[#This Row],[Eldre67+-O]]/Rådatakommune[[#This Row],[B17-O]]</f>
        <v>0.16765064810844685</v>
      </c>
      <c r="S66" s="32">
        <f>Rådatakommune[[#This Row],[S16-O]]/Rådatakommune[[#This Row],[S06-O]]-1</f>
        <v>6.1972371450498942E-2</v>
      </c>
      <c r="T66" s="32">
        <f>Rådatakommune[[#This Row],[Y16-O]]/Rådatakommune[[#This Row],[Folk20-64-O]]</f>
        <v>0.82844192634560909</v>
      </c>
    </row>
    <row r="67" spans="1:20" x14ac:dyDescent="0.25">
      <c r="A67" s="2" t="s">
        <v>66</v>
      </c>
      <c r="B67" s="2">
        <v>66</v>
      </c>
      <c r="C67" s="35">
        <v>2812</v>
      </c>
      <c r="D67" s="34">
        <v>2675</v>
      </c>
      <c r="E67" s="31">
        <v>1279</v>
      </c>
      <c r="F67" s="36">
        <v>573</v>
      </c>
      <c r="G67" s="37">
        <v>247</v>
      </c>
      <c r="H67">
        <v>1464</v>
      </c>
      <c r="I67" s="31">
        <v>1393</v>
      </c>
      <c r="J67" s="31">
        <v>1261</v>
      </c>
      <c r="K67" s="7">
        <v>1364.39</v>
      </c>
      <c r="L67" s="38">
        <v>358100</v>
      </c>
      <c r="M67" s="39">
        <v>239.96875</v>
      </c>
      <c r="N67">
        <v>10</v>
      </c>
      <c r="O67" s="30">
        <f>Rådatakommune[[#This Row],[B17-O]]/Rådatakommune[[#This Row],[Totalareal2017-O]]</f>
        <v>1.9605831177302675</v>
      </c>
      <c r="P67" s="32">
        <f>Rådatakommune[[#This Row],[B17-O]]/Rådatakommune[[#This Row],[B07-O]]-1</f>
        <v>-4.8719772403982953E-2</v>
      </c>
      <c r="Q67" s="32">
        <f>Rådatakommune[[#This Row],[Kvinner20-39-O]]/Rådatakommune[[#This Row],[B17-O]]</f>
        <v>9.2336448598130838E-2</v>
      </c>
      <c r="R67" s="32">
        <f>Rådatakommune[[#This Row],[Eldre67+-O]]/Rådatakommune[[#This Row],[B17-O]]</f>
        <v>0.2142056074766355</v>
      </c>
      <c r="S67" s="32">
        <f>Rådatakommune[[#This Row],[S16-O]]/Rådatakommune[[#This Row],[S06-O]]-1</f>
        <v>-9.4759511844939026E-2</v>
      </c>
      <c r="T67" s="32">
        <f>Rådatakommune[[#This Row],[Y16-O]]/Rådatakommune[[#This Row],[Folk20-64-O]]</f>
        <v>0.87363387978142082</v>
      </c>
    </row>
    <row r="68" spans="1:20" x14ac:dyDescent="0.25">
      <c r="A68" s="2" t="s">
        <v>67</v>
      </c>
      <c r="B68" s="2">
        <v>67</v>
      </c>
      <c r="C68" s="35">
        <v>2150</v>
      </c>
      <c r="D68" s="34">
        <v>2048</v>
      </c>
      <c r="E68" s="31">
        <v>1039</v>
      </c>
      <c r="F68" s="36">
        <v>408</v>
      </c>
      <c r="G68" s="37">
        <v>191</v>
      </c>
      <c r="H68">
        <v>1098</v>
      </c>
      <c r="I68" s="31">
        <v>958</v>
      </c>
      <c r="J68" s="31">
        <v>818</v>
      </c>
      <c r="K68" s="7">
        <v>2259.5</v>
      </c>
      <c r="L68" s="38">
        <v>388600</v>
      </c>
      <c r="M68" s="39">
        <v>261.9375</v>
      </c>
      <c r="N68">
        <v>10</v>
      </c>
      <c r="O68" s="30">
        <f>Rådatakommune[[#This Row],[B17-O]]/Rådatakommune[[#This Row],[Totalareal2017-O]]</f>
        <v>0.90639522018145613</v>
      </c>
      <c r="P68" s="32">
        <f>Rådatakommune[[#This Row],[B17-O]]/Rådatakommune[[#This Row],[B07-O]]-1</f>
        <v>-4.7441860465116226E-2</v>
      </c>
      <c r="Q68" s="32">
        <f>Rådatakommune[[#This Row],[Kvinner20-39-O]]/Rådatakommune[[#This Row],[B17-O]]</f>
        <v>9.326171875E-2</v>
      </c>
      <c r="R68" s="32">
        <f>Rådatakommune[[#This Row],[Eldre67+-O]]/Rådatakommune[[#This Row],[B17-O]]</f>
        <v>0.19921875</v>
      </c>
      <c r="S68" s="32">
        <f>Rådatakommune[[#This Row],[S16-O]]/Rådatakommune[[#This Row],[S06-O]]-1</f>
        <v>-0.14613778705636749</v>
      </c>
      <c r="T68" s="32">
        <f>Rådatakommune[[#This Row],[Y16-O]]/Rådatakommune[[#This Row],[Folk20-64-O]]</f>
        <v>0.94626593806921677</v>
      </c>
    </row>
    <row r="69" spans="1:20" x14ac:dyDescent="0.25">
      <c r="A69" s="2" t="s">
        <v>68</v>
      </c>
      <c r="B69" s="2">
        <v>68</v>
      </c>
      <c r="C69" s="35">
        <v>2329</v>
      </c>
      <c r="D69" s="34">
        <v>2202</v>
      </c>
      <c r="E69" s="31">
        <v>1068</v>
      </c>
      <c r="F69" s="36">
        <v>503</v>
      </c>
      <c r="G69" s="37">
        <v>216</v>
      </c>
      <c r="H69">
        <v>1196</v>
      </c>
      <c r="I69" s="31">
        <v>1129</v>
      </c>
      <c r="J69" s="31">
        <v>990</v>
      </c>
      <c r="K69" s="7">
        <v>2075.52</v>
      </c>
      <c r="L69" s="38">
        <v>366000</v>
      </c>
      <c r="M69" s="39">
        <v>278.375</v>
      </c>
      <c r="N69">
        <v>10</v>
      </c>
      <c r="O69" s="30">
        <f>Rådatakommune[[#This Row],[B17-O]]/Rådatakommune[[#This Row],[Totalareal2017-O]]</f>
        <v>1.0609389454209066</v>
      </c>
      <c r="P69" s="32">
        <f>Rådatakommune[[#This Row],[B17-O]]/Rådatakommune[[#This Row],[B07-O]]-1</f>
        <v>-5.4529841133533652E-2</v>
      </c>
      <c r="Q69" s="32">
        <f>Rådatakommune[[#This Row],[Kvinner20-39-O]]/Rådatakommune[[#This Row],[B17-O]]</f>
        <v>9.8092643051771122E-2</v>
      </c>
      <c r="R69" s="32">
        <f>Rådatakommune[[#This Row],[Eldre67+-O]]/Rådatakommune[[#This Row],[B17-O]]</f>
        <v>0.22842870118074476</v>
      </c>
      <c r="S69" s="32">
        <f>Rådatakommune[[#This Row],[S16-O]]/Rådatakommune[[#This Row],[S06-O]]-1</f>
        <v>-0.12311780336581046</v>
      </c>
      <c r="T69" s="32">
        <f>Rådatakommune[[#This Row],[Y16-O]]/Rådatakommune[[#This Row],[Folk20-64-O]]</f>
        <v>0.8929765886287625</v>
      </c>
    </row>
    <row r="70" spans="1:20" x14ac:dyDescent="0.25">
      <c r="A70" s="2" t="s">
        <v>69</v>
      </c>
      <c r="B70" s="2">
        <v>69</v>
      </c>
      <c r="C70" s="35">
        <v>2436</v>
      </c>
      <c r="D70" s="34">
        <v>2360</v>
      </c>
      <c r="E70" s="31">
        <v>1186</v>
      </c>
      <c r="F70" s="36">
        <v>458</v>
      </c>
      <c r="G70" s="37">
        <v>236</v>
      </c>
      <c r="H70">
        <v>1326</v>
      </c>
      <c r="I70" s="31">
        <v>1245</v>
      </c>
      <c r="J70" s="31">
        <v>1082</v>
      </c>
      <c r="K70" s="7">
        <v>1968.55</v>
      </c>
      <c r="L70" s="38">
        <v>364900</v>
      </c>
      <c r="M70" s="39">
        <v>262.875</v>
      </c>
      <c r="N70">
        <v>10</v>
      </c>
      <c r="O70" s="30">
        <f>Rådatakommune[[#This Row],[B17-O]]/Rådatakommune[[#This Row],[Totalareal2017-O]]</f>
        <v>1.1988519468644434</v>
      </c>
      <c r="P70" s="32">
        <f>Rådatakommune[[#This Row],[B17-O]]/Rådatakommune[[#This Row],[B07-O]]-1</f>
        <v>-3.1198686371100126E-2</v>
      </c>
      <c r="Q70" s="32">
        <f>Rådatakommune[[#This Row],[Kvinner20-39-O]]/Rådatakommune[[#This Row],[B17-O]]</f>
        <v>0.1</v>
      </c>
      <c r="R70" s="32">
        <f>Rådatakommune[[#This Row],[Eldre67+-O]]/Rådatakommune[[#This Row],[B17-O]]</f>
        <v>0.19406779661016949</v>
      </c>
      <c r="S70" s="32">
        <f>Rådatakommune[[#This Row],[S16-O]]/Rådatakommune[[#This Row],[S06-O]]-1</f>
        <v>-0.13092369477911647</v>
      </c>
      <c r="T70" s="32">
        <f>Rådatakommune[[#This Row],[Y16-O]]/Rådatakommune[[#This Row],[Folk20-64-O]]</f>
        <v>0.89441930618401211</v>
      </c>
    </row>
    <row r="71" spans="1:20" x14ac:dyDescent="0.25">
      <c r="A71" s="2" t="s">
        <v>70</v>
      </c>
      <c r="B71" s="2">
        <v>70</v>
      </c>
      <c r="C71" s="35">
        <v>3724</v>
      </c>
      <c r="D71" s="34">
        <v>3640</v>
      </c>
      <c r="E71" s="31">
        <v>1799</v>
      </c>
      <c r="F71" s="36">
        <v>780</v>
      </c>
      <c r="G71" s="37">
        <v>362</v>
      </c>
      <c r="H71">
        <v>1989</v>
      </c>
      <c r="I71" s="31">
        <v>1529</v>
      </c>
      <c r="J71" s="31">
        <v>1491</v>
      </c>
      <c r="K71" s="7">
        <v>1330</v>
      </c>
      <c r="L71" s="38">
        <v>370100</v>
      </c>
      <c r="M71" s="39">
        <v>239.46875</v>
      </c>
      <c r="N71">
        <v>10</v>
      </c>
      <c r="O71" s="30">
        <f>Rådatakommune[[#This Row],[B17-O]]/Rådatakommune[[#This Row],[Totalareal2017-O]]</f>
        <v>2.736842105263158</v>
      </c>
      <c r="P71" s="32">
        <f>Rådatakommune[[#This Row],[B17-O]]/Rådatakommune[[#This Row],[B07-O]]-1</f>
        <v>-2.2556390977443663E-2</v>
      </c>
      <c r="Q71" s="32">
        <f>Rådatakommune[[#This Row],[Kvinner20-39-O]]/Rådatakommune[[#This Row],[B17-O]]</f>
        <v>9.9450549450549444E-2</v>
      </c>
      <c r="R71" s="32">
        <f>Rådatakommune[[#This Row],[Eldre67+-O]]/Rådatakommune[[#This Row],[B17-O]]</f>
        <v>0.21428571428571427</v>
      </c>
      <c r="S71" s="32">
        <f>Rådatakommune[[#This Row],[S16-O]]/Rådatakommune[[#This Row],[S06-O]]-1</f>
        <v>-2.4852844996729906E-2</v>
      </c>
      <c r="T71" s="32">
        <f>Rådatakommune[[#This Row],[Y16-O]]/Rådatakommune[[#This Row],[Folk20-64-O]]</f>
        <v>0.9044746103569633</v>
      </c>
    </row>
    <row r="72" spans="1:20" x14ac:dyDescent="0.25">
      <c r="A72" s="2" t="s">
        <v>71</v>
      </c>
      <c r="B72" s="2">
        <v>71</v>
      </c>
      <c r="C72" s="35">
        <v>5790</v>
      </c>
      <c r="D72" s="34">
        <v>5723</v>
      </c>
      <c r="E72" s="31">
        <v>2740</v>
      </c>
      <c r="F72" s="36">
        <v>1181</v>
      </c>
      <c r="G72" s="37">
        <v>544</v>
      </c>
      <c r="H72">
        <v>3136</v>
      </c>
      <c r="I72" s="31">
        <v>2639</v>
      </c>
      <c r="J72" s="31">
        <v>2499</v>
      </c>
      <c r="K72" s="7">
        <v>1141.48</v>
      </c>
      <c r="L72" s="38">
        <v>393400</v>
      </c>
      <c r="M72" s="39">
        <v>188.34375</v>
      </c>
      <c r="N72">
        <v>8</v>
      </c>
      <c r="O72" s="30">
        <f>Rådatakommune[[#This Row],[B17-O]]/Rådatakommune[[#This Row],[Totalareal2017-O]]</f>
        <v>5.013666468094053</v>
      </c>
      <c r="P72" s="32">
        <f>Rådatakommune[[#This Row],[B17-O]]/Rådatakommune[[#This Row],[B07-O]]-1</f>
        <v>-1.1571675302245232E-2</v>
      </c>
      <c r="Q72" s="32">
        <f>Rådatakommune[[#This Row],[Kvinner20-39-O]]/Rådatakommune[[#This Row],[B17-O]]</f>
        <v>9.5055041062379872E-2</v>
      </c>
      <c r="R72" s="32">
        <f>Rådatakommune[[#This Row],[Eldre67+-O]]/Rådatakommune[[#This Row],[B17-O]]</f>
        <v>0.20636030054167395</v>
      </c>
      <c r="S72" s="32">
        <f>Rådatakommune[[#This Row],[S16-O]]/Rådatakommune[[#This Row],[S06-O]]-1</f>
        <v>-5.3050397877984046E-2</v>
      </c>
      <c r="T72" s="32">
        <f>Rådatakommune[[#This Row],[Y16-O]]/Rådatakommune[[#This Row],[Folk20-64-O]]</f>
        <v>0.87372448979591832</v>
      </c>
    </row>
    <row r="73" spans="1:20" x14ac:dyDescent="0.25">
      <c r="A73" s="2" t="s">
        <v>72</v>
      </c>
      <c r="B73" s="2">
        <v>72</v>
      </c>
      <c r="C73" s="35">
        <v>6099</v>
      </c>
      <c r="D73" s="34">
        <v>5916</v>
      </c>
      <c r="E73" s="31">
        <v>2742</v>
      </c>
      <c r="F73" s="36">
        <v>1189</v>
      </c>
      <c r="G73" s="37">
        <v>542</v>
      </c>
      <c r="H73">
        <v>3262</v>
      </c>
      <c r="I73" s="31">
        <v>3039</v>
      </c>
      <c r="J73" s="31">
        <v>2980</v>
      </c>
      <c r="K73" s="7">
        <v>904.93</v>
      </c>
      <c r="L73" s="38">
        <v>337800</v>
      </c>
      <c r="M73" s="39">
        <v>215.03125</v>
      </c>
      <c r="N73">
        <v>10</v>
      </c>
      <c r="O73" s="30">
        <f>Rådatakommune[[#This Row],[B17-O]]/Rådatakommune[[#This Row],[Totalareal2017-O]]</f>
        <v>6.5375222392892267</v>
      </c>
      <c r="P73" s="32">
        <f>Rådatakommune[[#This Row],[B17-O]]/Rådatakommune[[#This Row],[B07-O]]-1</f>
        <v>-3.0004918839153905E-2</v>
      </c>
      <c r="Q73" s="32">
        <f>Rådatakommune[[#This Row],[Kvinner20-39-O]]/Rådatakommune[[#This Row],[B17-O]]</f>
        <v>9.1615956727518599E-2</v>
      </c>
      <c r="R73" s="32">
        <f>Rådatakommune[[#This Row],[Eldre67+-O]]/Rådatakommune[[#This Row],[B17-O]]</f>
        <v>0.20098039215686275</v>
      </c>
      <c r="S73" s="32">
        <f>Rådatakommune[[#This Row],[S16-O]]/Rådatakommune[[#This Row],[S06-O]]-1</f>
        <v>-1.9414281013491297E-2</v>
      </c>
      <c r="T73" s="32">
        <f>Rådatakommune[[#This Row],[Y16-O]]/Rådatakommune[[#This Row],[Folk20-64-O]]</f>
        <v>0.84058859595340285</v>
      </c>
    </row>
    <row r="74" spans="1:20" x14ac:dyDescent="0.25">
      <c r="A74" s="2" t="s">
        <v>73</v>
      </c>
      <c r="B74" s="2">
        <v>73</v>
      </c>
      <c r="C74" s="35">
        <v>3199</v>
      </c>
      <c r="D74" s="34">
        <v>3163</v>
      </c>
      <c r="E74" s="31">
        <v>1576</v>
      </c>
      <c r="F74" s="36">
        <v>624</v>
      </c>
      <c r="G74" s="37">
        <v>304</v>
      </c>
      <c r="H74">
        <v>1729</v>
      </c>
      <c r="I74" s="31">
        <v>1155</v>
      </c>
      <c r="J74" s="31">
        <v>1075</v>
      </c>
      <c r="K74" s="7">
        <v>742.18000000000006</v>
      </c>
      <c r="L74" s="38">
        <v>382500</v>
      </c>
      <c r="M74" s="39">
        <v>176.6875</v>
      </c>
      <c r="N74">
        <v>5</v>
      </c>
      <c r="O74" s="30">
        <f>Rådatakommune[[#This Row],[B17-O]]/Rådatakommune[[#This Row],[Totalareal2017-O]]</f>
        <v>4.2617693820905975</v>
      </c>
      <c r="P74" s="32">
        <f>Rådatakommune[[#This Row],[B17-O]]/Rådatakommune[[#This Row],[B07-O]]-1</f>
        <v>-1.1253516723976231E-2</v>
      </c>
      <c r="Q74" s="32">
        <f>Rådatakommune[[#This Row],[Kvinner20-39-O]]/Rådatakommune[[#This Row],[B17-O]]</f>
        <v>9.6111286753082517E-2</v>
      </c>
      <c r="R74" s="32">
        <f>Rådatakommune[[#This Row],[Eldre67+-O]]/Rådatakommune[[#This Row],[B17-O]]</f>
        <v>0.19728106228264305</v>
      </c>
      <c r="S74" s="32">
        <f>Rådatakommune[[#This Row],[S16-O]]/Rådatakommune[[#This Row],[S06-O]]-1</f>
        <v>-6.926406926406925E-2</v>
      </c>
      <c r="T74" s="32">
        <f>Rådatakommune[[#This Row],[Y16-O]]/Rådatakommune[[#This Row],[Folk20-64-O]]</f>
        <v>0.91150954308849041</v>
      </c>
    </row>
    <row r="75" spans="1:20" x14ac:dyDescent="0.25">
      <c r="A75" s="2" t="s">
        <v>74</v>
      </c>
      <c r="B75" s="2">
        <v>74</v>
      </c>
      <c r="C75" s="35">
        <v>4557</v>
      </c>
      <c r="D75" s="34">
        <v>4502</v>
      </c>
      <c r="E75" s="31">
        <v>2176</v>
      </c>
      <c r="F75" s="36">
        <v>967</v>
      </c>
      <c r="G75" s="37">
        <v>450</v>
      </c>
      <c r="H75">
        <v>2480</v>
      </c>
      <c r="I75" s="31">
        <v>2288</v>
      </c>
      <c r="J75" s="31">
        <v>2156</v>
      </c>
      <c r="K75" s="7">
        <v>1247.57</v>
      </c>
      <c r="L75" s="38">
        <v>366200</v>
      </c>
      <c r="M75" s="39">
        <v>167.0625</v>
      </c>
      <c r="N75">
        <v>5</v>
      </c>
      <c r="O75" s="30">
        <f>Rådatakommune[[#This Row],[B17-O]]/Rådatakommune[[#This Row],[Totalareal2017-O]]</f>
        <v>3.6086151478474155</v>
      </c>
      <c r="P75" s="32">
        <f>Rådatakommune[[#This Row],[B17-O]]/Rådatakommune[[#This Row],[B07-O]]-1</f>
        <v>-1.2069343866578874E-2</v>
      </c>
      <c r="Q75" s="32">
        <f>Rådatakommune[[#This Row],[Kvinner20-39-O]]/Rådatakommune[[#This Row],[B17-O]]</f>
        <v>9.995557529986672E-2</v>
      </c>
      <c r="R75" s="32">
        <f>Rådatakommune[[#This Row],[Eldre67+-O]]/Rådatakommune[[#This Row],[B17-O]]</f>
        <v>0.21479342514438027</v>
      </c>
      <c r="S75" s="32">
        <f>Rådatakommune[[#This Row],[S16-O]]/Rådatakommune[[#This Row],[S06-O]]-1</f>
        <v>-5.7692307692307709E-2</v>
      </c>
      <c r="T75" s="32">
        <f>Rådatakommune[[#This Row],[Y16-O]]/Rådatakommune[[#This Row],[Folk20-64-O]]</f>
        <v>0.8774193548387097</v>
      </c>
    </row>
    <row r="76" spans="1:20" x14ac:dyDescent="0.25">
      <c r="A76" s="2" t="s">
        <v>75</v>
      </c>
      <c r="B76" s="2">
        <v>75</v>
      </c>
      <c r="C76" s="35">
        <v>4893</v>
      </c>
      <c r="D76" s="34">
        <v>5082</v>
      </c>
      <c r="E76" s="31">
        <v>2586</v>
      </c>
      <c r="F76" s="36">
        <v>890</v>
      </c>
      <c r="G76" s="37">
        <v>562</v>
      </c>
      <c r="H76">
        <v>2973</v>
      </c>
      <c r="I76" s="31">
        <v>1815</v>
      </c>
      <c r="J76" s="31">
        <v>1774</v>
      </c>
      <c r="K76" s="7">
        <v>639.9</v>
      </c>
      <c r="L76" s="38">
        <v>380900</v>
      </c>
      <c r="M76" s="39">
        <v>145.75</v>
      </c>
      <c r="N76">
        <v>4</v>
      </c>
      <c r="O76" s="30">
        <f>Rådatakommune[[#This Row],[B17-O]]/Rådatakommune[[#This Row],[Totalareal2017-O]]</f>
        <v>7.9418659165494612</v>
      </c>
      <c r="P76" s="32">
        <f>Rådatakommune[[#This Row],[B17-O]]/Rådatakommune[[#This Row],[B07-O]]-1</f>
        <v>3.8626609442059978E-2</v>
      </c>
      <c r="Q76" s="32">
        <f>Rådatakommune[[#This Row],[Kvinner20-39-O]]/Rådatakommune[[#This Row],[B17-O]]</f>
        <v>0.11058638331365604</v>
      </c>
      <c r="R76" s="32">
        <f>Rådatakommune[[#This Row],[Eldre67+-O]]/Rådatakommune[[#This Row],[B17-O]]</f>
        <v>0.17512790240062967</v>
      </c>
      <c r="S76" s="32">
        <f>Rådatakommune[[#This Row],[S16-O]]/Rådatakommune[[#This Row],[S06-O]]-1</f>
        <v>-2.2589531680440755E-2</v>
      </c>
      <c r="T76" s="32">
        <f>Rådatakommune[[#This Row],[Y16-O]]/Rådatakommune[[#This Row],[Folk20-64-O]]</f>
        <v>0.86982845610494453</v>
      </c>
    </row>
    <row r="77" spans="1:20" x14ac:dyDescent="0.25">
      <c r="A77" s="2" t="s">
        <v>76</v>
      </c>
      <c r="B77" s="2">
        <v>76</v>
      </c>
      <c r="C77" s="35">
        <v>6114</v>
      </c>
      <c r="D77" s="34">
        <v>6204</v>
      </c>
      <c r="E77" s="31">
        <v>3233</v>
      </c>
      <c r="F77" s="36">
        <v>1210</v>
      </c>
      <c r="G77" s="37">
        <v>613</v>
      </c>
      <c r="H77">
        <v>3486</v>
      </c>
      <c r="I77" s="31">
        <v>2380</v>
      </c>
      <c r="J77" s="31">
        <v>2283</v>
      </c>
      <c r="K77" s="7">
        <v>1191.1599999999999</v>
      </c>
      <c r="L77" s="38">
        <v>378800</v>
      </c>
      <c r="M77" s="39">
        <v>141.53125</v>
      </c>
      <c r="N77">
        <v>4</v>
      </c>
      <c r="O77" s="30">
        <f>Rådatakommune[[#This Row],[B17-O]]/Rådatakommune[[#This Row],[Totalareal2017-O]]</f>
        <v>5.2083683132408751</v>
      </c>
      <c r="P77" s="32">
        <f>Rådatakommune[[#This Row],[B17-O]]/Rådatakommune[[#This Row],[B07-O]]-1</f>
        <v>1.4720314033366044E-2</v>
      </c>
      <c r="Q77" s="32">
        <f>Rådatakommune[[#This Row],[Kvinner20-39-O]]/Rådatakommune[[#This Row],[B17-O]]</f>
        <v>9.8807221147646673E-2</v>
      </c>
      <c r="R77" s="32">
        <f>Rådatakommune[[#This Row],[Eldre67+-O]]/Rådatakommune[[#This Row],[B17-O]]</f>
        <v>0.19503546099290781</v>
      </c>
      <c r="S77" s="32">
        <f>Rådatakommune[[#This Row],[S16-O]]/Rådatakommune[[#This Row],[S06-O]]-1</f>
        <v>-4.075630252100837E-2</v>
      </c>
      <c r="T77" s="32">
        <f>Rådatakommune[[#This Row],[Y16-O]]/Rådatakommune[[#This Row],[Folk20-64-O]]</f>
        <v>0.92742398164084916</v>
      </c>
    </row>
    <row r="78" spans="1:20" x14ac:dyDescent="0.25">
      <c r="A78" s="2" t="s">
        <v>77</v>
      </c>
      <c r="B78" s="2">
        <v>77</v>
      </c>
      <c r="C78" s="35">
        <v>14389</v>
      </c>
      <c r="D78" s="34">
        <v>14887</v>
      </c>
      <c r="E78" s="31">
        <v>7276</v>
      </c>
      <c r="F78" s="36">
        <v>2763</v>
      </c>
      <c r="G78" s="37">
        <v>1531</v>
      </c>
      <c r="H78">
        <v>8520</v>
      </c>
      <c r="I78" s="31">
        <v>4877</v>
      </c>
      <c r="J78" s="31">
        <v>5259</v>
      </c>
      <c r="K78" s="7">
        <v>562.57000000000005</v>
      </c>
      <c r="L78" s="38">
        <v>383600</v>
      </c>
      <c r="M78" s="39">
        <v>92.6875</v>
      </c>
      <c r="N78">
        <v>4</v>
      </c>
      <c r="O78" s="30">
        <f>Rådatakommune[[#This Row],[B17-O]]/Rådatakommune[[#This Row],[Totalareal2017-O]]</f>
        <v>26.462484668574575</v>
      </c>
      <c r="P78" s="32">
        <f>Rådatakommune[[#This Row],[B17-O]]/Rådatakommune[[#This Row],[B07-O]]-1</f>
        <v>3.4609771353117047E-2</v>
      </c>
      <c r="Q78" s="32">
        <f>Rådatakommune[[#This Row],[Kvinner20-39-O]]/Rådatakommune[[#This Row],[B17-O]]</f>
        <v>0.10284140525290522</v>
      </c>
      <c r="R78" s="32">
        <f>Rådatakommune[[#This Row],[Eldre67+-O]]/Rådatakommune[[#This Row],[B17-O]]</f>
        <v>0.18559817290253242</v>
      </c>
      <c r="S78" s="32">
        <f>Rådatakommune[[#This Row],[S16-O]]/Rådatakommune[[#This Row],[S06-O]]-1</f>
        <v>7.8326840270658282E-2</v>
      </c>
      <c r="T78" s="32">
        <f>Rådatakommune[[#This Row],[Y16-O]]/Rådatakommune[[#This Row],[Folk20-64-O]]</f>
        <v>0.85399061032863854</v>
      </c>
    </row>
    <row r="79" spans="1:20" x14ac:dyDescent="0.25">
      <c r="A79" s="2" t="s">
        <v>78</v>
      </c>
      <c r="B79" s="2">
        <v>78</v>
      </c>
      <c r="C79" s="35">
        <v>12610</v>
      </c>
      <c r="D79" s="34">
        <v>13179</v>
      </c>
      <c r="E79" s="31">
        <v>6352</v>
      </c>
      <c r="F79" s="36">
        <v>2392</v>
      </c>
      <c r="G79" s="37">
        <v>1356</v>
      </c>
      <c r="H79">
        <v>7557</v>
      </c>
      <c r="I79" s="31">
        <v>6382</v>
      </c>
      <c r="J79" s="31">
        <v>6483</v>
      </c>
      <c r="K79" s="7">
        <v>249.51999999999998</v>
      </c>
      <c r="L79" s="38">
        <v>380700</v>
      </c>
      <c r="M79" s="39">
        <v>97.765625</v>
      </c>
      <c r="N79">
        <v>4</v>
      </c>
      <c r="O79" s="30">
        <f>Rådatakommune[[#This Row],[B17-O]]/Rådatakommune[[#This Row],[Totalareal2017-O]]</f>
        <v>52.817409426098109</v>
      </c>
      <c r="P79" s="32">
        <f>Rådatakommune[[#This Row],[B17-O]]/Rådatakommune[[#This Row],[B07-O]]-1</f>
        <v>4.5122918318794669E-2</v>
      </c>
      <c r="Q79" s="32">
        <f>Rådatakommune[[#This Row],[Kvinner20-39-O]]/Rådatakommune[[#This Row],[B17-O]]</f>
        <v>0.10289096289551559</v>
      </c>
      <c r="R79" s="32">
        <f>Rådatakommune[[#This Row],[Eldre67+-O]]/Rådatakommune[[#This Row],[B17-O]]</f>
        <v>0.18150087260034903</v>
      </c>
      <c r="S79" s="32">
        <f>Rådatakommune[[#This Row],[S16-O]]/Rådatakommune[[#This Row],[S06-O]]-1</f>
        <v>1.582575994985902E-2</v>
      </c>
      <c r="T79" s="32">
        <f>Rådatakommune[[#This Row],[Y16-O]]/Rådatakommune[[#This Row],[Folk20-64-O]]</f>
        <v>0.84054518989016802</v>
      </c>
    </row>
    <row r="80" spans="1:20" x14ac:dyDescent="0.25">
      <c r="A80" s="2" t="s">
        <v>79</v>
      </c>
      <c r="B80" s="2">
        <v>79</v>
      </c>
      <c r="C80" s="35">
        <v>6238</v>
      </c>
      <c r="D80" s="34">
        <v>6696</v>
      </c>
      <c r="E80" s="31">
        <v>3249</v>
      </c>
      <c r="F80" s="36">
        <v>1135</v>
      </c>
      <c r="G80" s="37">
        <v>748</v>
      </c>
      <c r="H80">
        <v>3842</v>
      </c>
      <c r="I80" s="31">
        <v>2177</v>
      </c>
      <c r="J80" s="31">
        <v>2054</v>
      </c>
      <c r="K80" s="7">
        <v>225.72000000000003</v>
      </c>
      <c r="L80" s="38">
        <v>388100</v>
      </c>
      <c r="M80" s="39">
        <v>58.2890625</v>
      </c>
      <c r="N80">
        <v>5</v>
      </c>
      <c r="O80" s="30">
        <f>Rådatakommune[[#This Row],[B17-O]]/Rådatakommune[[#This Row],[Totalareal2017-O]]</f>
        <v>29.665071770334926</v>
      </c>
      <c r="P80" s="32">
        <f>Rådatakommune[[#This Row],[B17-O]]/Rådatakommune[[#This Row],[B07-O]]-1</f>
        <v>7.3420968259057418E-2</v>
      </c>
      <c r="Q80" s="32">
        <f>Rådatakommune[[#This Row],[Kvinner20-39-O]]/Rådatakommune[[#This Row],[B17-O]]</f>
        <v>0.11170848267622462</v>
      </c>
      <c r="R80" s="32">
        <f>Rådatakommune[[#This Row],[Eldre67+-O]]/Rådatakommune[[#This Row],[B17-O]]</f>
        <v>0.16950418160095579</v>
      </c>
      <c r="S80" s="32">
        <f>Rådatakommune[[#This Row],[S16-O]]/Rådatakommune[[#This Row],[S06-O]]-1</f>
        <v>-5.6499770326136844E-2</v>
      </c>
      <c r="T80" s="32">
        <f>Rådatakommune[[#This Row],[Y16-O]]/Rådatakommune[[#This Row],[Folk20-64-O]]</f>
        <v>0.84565330557001561</v>
      </c>
    </row>
    <row r="81" spans="1:20" x14ac:dyDescent="0.25">
      <c r="A81" s="2" t="s">
        <v>80</v>
      </c>
      <c r="B81" s="2">
        <v>80</v>
      </c>
      <c r="C81" s="35">
        <v>8522</v>
      </c>
      <c r="D81" s="34">
        <v>9080</v>
      </c>
      <c r="E81" s="31">
        <v>4559</v>
      </c>
      <c r="F81" s="36">
        <v>1321</v>
      </c>
      <c r="G81" s="37">
        <v>1030</v>
      </c>
      <c r="H81">
        <v>5346</v>
      </c>
      <c r="I81" s="31">
        <v>2169</v>
      </c>
      <c r="J81" s="31">
        <v>2092</v>
      </c>
      <c r="K81" s="7">
        <v>291.83999999999997</v>
      </c>
      <c r="L81" s="38">
        <v>418400</v>
      </c>
      <c r="M81" s="39">
        <v>51.4375</v>
      </c>
      <c r="N81">
        <v>1</v>
      </c>
      <c r="O81" s="30">
        <f>Rådatakommune[[#This Row],[B17-O]]/Rådatakommune[[#This Row],[Totalareal2017-O]]</f>
        <v>31.11293859649123</v>
      </c>
      <c r="P81" s="32">
        <f>Rådatakommune[[#This Row],[B17-O]]/Rådatakommune[[#This Row],[B07-O]]-1</f>
        <v>6.5477587420793348E-2</v>
      </c>
      <c r="Q81" s="32">
        <f>Rådatakommune[[#This Row],[Kvinner20-39-O]]/Rådatakommune[[#This Row],[B17-O]]</f>
        <v>0.11343612334801761</v>
      </c>
      <c r="R81" s="32">
        <f>Rådatakommune[[#This Row],[Eldre67+-O]]/Rådatakommune[[#This Row],[B17-O]]</f>
        <v>0.14548458149779736</v>
      </c>
      <c r="S81" s="32">
        <f>Rådatakommune[[#This Row],[S16-O]]/Rådatakommune[[#This Row],[S06-O]]-1</f>
        <v>-3.5500230520977394E-2</v>
      </c>
      <c r="T81" s="32">
        <f>Rådatakommune[[#This Row],[Y16-O]]/Rådatakommune[[#This Row],[Folk20-64-O]]</f>
        <v>0.85278713056490829</v>
      </c>
    </row>
    <row r="82" spans="1:20" x14ac:dyDescent="0.25">
      <c r="A82" s="2" t="s">
        <v>81</v>
      </c>
      <c r="B82" s="2">
        <v>81</v>
      </c>
      <c r="C82" s="35">
        <v>13110</v>
      </c>
      <c r="D82" s="34">
        <v>13707</v>
      </c>
      <c r="E82" s="31">
        <v>6540</v>
      </c>
      <c r="F82" s="36">
        <v>2442</v>
      </c>
      <c r="G82" s="37">
        <v>1440</v>
      </c>
      <c r="H82">
        <v>7745</v>
      </c>
      <c r="I82" s="31">
        <v>5738</v>
      </c>
      <c r="J82" s="31">
        <v>5883</v>
      </c>
      <c r="K82" s="7">
        <v>756.65</v>
      </c>
      <c r="L82" s="38">
        <v>402500</v>
      </c>
      <c r="M82" s="39">
        <v>62.9140625</v>
      </c>
      <c r="N82">
        <v>1</v>
      </c>
      <c r="O82" s="30">
        <f>Rådatakommune[[#This Row],[B17-O]]/Rådatakommune[[#This Row],[Totalareal2017-O]]</f>
        <v>18.115376990682616</v>
      </c>
      <c r="P82" s="32">
        <f>Rådatakommune[[#This Row],[B17-O]]/Rådatakommune[[#This Row],[B07-O]]-1</f>
        <v>4.5537757437071003E-2</v>
      </c>
      <c r="Q82" s="32">
        <f>Rådatakommune[[#This Row],[Kvinner20-39-O]]/Rådatakommune[[#This Row],[B17-O]]</f>
        <v>0.10505581089954039</v>
      </c>
      <c r="R82" s="32">
        <f>Rådatakommune[[#This Row],[Eldre67+-O]]/Rådatakommune[[#This Row],[B17-O]]</f>
        <v>0.17815714598380389</v>
      </c>
      <c r="S82" s="32">
        <f>Rådatakommune[[#This Row],[S16-O]]/Rådatakommune[[#This Row],[S06-O]]-1</f>
        <v>2.5270128964796079E-2</v>
      </c>
      <c r="T82" s="32">
        <f>Rådatakommune[[#This Row],[Y16-O]]/Rådatakommune[[#This Row],[Folk20-64-O]]</f>
        <v>0.8444157520981278</v>
      </c>
    </row>
    <row r="83" spans="1:20" x14ac:dyDescent="0.25">
      <c r="A83" s="2" t="s">
        <v>82</v>
      </c>
      <c r="B83" s="2">
        <v>82</v>
      </c>
      <c r="C83" s="35">
        <v>5932</v>
      </c>
      <c r="D83" s="34">
        <v>5717</v>
      </c>
      <c r="E83" s="31">
        <v>2609</v>
      </c>
      <c r="F83" s="36">
        <v>1055</v>
      </c>
      <c r="G83" s="37">
        <v>562</v>
      </c>
      <c r="H83">
        <v>3295</v>
      </c>
      <c r="I83" s="31">
        <v>1902</v>
      </c>
      <c r="J83" s="31">
        <v>1637</v>
      </c>
      <c r="K83" s="7">
        <v>728.36</v>
      </c>
      <c r="L83" s="38">
        <v>345500</v>
      </c>
      <c r="M83" s="39">
        <v>98.921875</v>
      </c>
      <c r="N83">
        <v>4</v>
      </c>
      <c r="O83" s="30">
        <f>Rådatakommune[[#This Row],[B17-O]]/Rådatakommune[[#This Row],[Totalareal2017-O]]</f>
        <v>7.8491405349003243</v>
      </c>
      <c r="P83" s="32">
        <f>Rådatakommune[[#This Row],[B17-O]]/Rådatakommune[[#This Row],[B07-O]]-1</f>
        <v>-3.6244099797707374E-2</v>
      </c>
      <c r="Q83" s="32">
        <f>Rådatakommune[[#This Row],[Kvinner20-39-O]]/Rådatakommune[[#This Row],[B17-O]]</f>
        <v>9.8303305929683407E-2</v>
      </c>
      <c r="R83" s="32">
        <f>Rådatakommune[[#This Row],[Eldre67+-O]]/Rådatakommune[[#This Row],[B17-O]]</f>
        <v>0.18453734476123843</v>
      </c>
      <c r="S83" s="32">
        <f>Rådatakommune[[#This Row],[S16-O]]/Rådatakommune[[#This Row],[S06-O]]-1</f>
        <v>-0.13932702418506837</v>
      </c>
      <c r="T83" s="32">
        <f>Rådatakommune[[#This Row],[Y16-O]]/Rådatakommune[[#This Row],[Folk20-64-O]]</f>
        <v>0.79180576631259481</v>
      </c>
    </row>
    <row r="84" spans="1:20" x14ac:dyDescent="0.25">
      <c r="A84" s="2" t="s">
        <v>83</v>
      </c>
      <c r="B84" s="2">
        <v>83</v>
      </c>
      <c r="C84" s="35">
        <v>6720</v>
      </c>
      <c r="D84" s="34">
        <v>6773</v>
      </c>
      <c r="E84" s="31">
        <v>3228</v>
      </c>
      <c r="F84" s="36">
        <v>1308</v>
      </c>
      <c r="G84" s="37">
        <v>690</v>
      </c>
      <c r="H84">
        <v>3813</v>
      </c>
      <c r="I84" s="31">
        <v>2843</v>
      </c>
      <c r="J84" s="31">
        <v>2987</v>
      </c>
      <c r="K84" s="7">
        <v>955.31000000000006</v>
      </c>
      <c r="L84" s="38">
        <v>353300</v>
      </c>
      <c r="M84" s="39">
        <v>121.75</v>
      </c>
      <c r="N84">
        <v>4</v>
      </c>
      <c r="O84" s="30">
        <f>Rådatakommune[[#This Row],[B17-O]]/Rådatakommune[[#This Row],[Totalareal2017-O]]</f>
        <v>7.0898451811453871</v>
      </c>
      <c r="P84" s="32">
        <f>Rådatakommune[[#This Row],[B17-O]]/Rådatakommune[[#This Row],[B07-O]]-1</f>
        <v>7.8869047619047894E-3</v>
      </c>
      <c r="Q84" s="32">
        <f>Rådatakommune[[#This Row],[Kvinner20-39-O]]/Rådatakommune[[#This Row],[B17-O]]</f>
        <v>0.1018750922781633</v>
      </c>
      <c r="R84" s="32">
        <f>Rådatakommune[[#This Row],[Eldre67+-O]]/Rådatakommune[[#This Row],[B17-O]]</f>
        <v>0.19311974014469216</v>
      </c>
      <c r="S84" s="32">
        <f>Rådatakommune[[#This Row],[S16-O]]/Rådatakommune[[#This Row],[S06-O]]-1</f>
        <v>5.0650721069293025E-2</v>
      </c>
      <c r="T84" s="32">
        <f>Rådatakommune[[#This Row],[Y16-O]]/Rådatakommune[[#This Row],[Folk20-64-O]]</f>
        <v>0.84657749803304483</v>
      </c>
    </row>
    <row r="85" spans="1:20" x14ac:dyDescent="0.25">
      <c r="A85" s="2" t="s">
        <v>84</v>
      </c>
      <c r="B85" s="2">
        <v>84</v>
      </c>
      <c r="C85" s="35">
        <v>3194</v>
      </c>
      <c r="D85" s="34">
        <v>3026</v>
      </c>
      <c r="E85" s="31">
        <v>1487</v>
      </c>
      <c r="F85" s="36">
        <v>660</v>
      </c>
      <c r="G85" s="37">
        <v>279</v>
      </c>
      <c r="H85">
        <v>1613</v>
      </c>
      <c r="I85" s="31">
        <v>1336</v>
      </c>
      <c r="J85" s="31">
        <v>1231</v>
      </c>
      <c r="K85" s="7">
        <v>1109.04</v>
      </c>
      <c r="L85" s="38">
        <v>353300</v>
      </c>
      <c r="M85" s="39">
        <v>123.078125</v>
      </c>
      <c r="N85">
        <v>10</v>
      </c>
      <c r="O85" s="30">
        <f>Rådatakommune[[#This Row],[B17-O]]/Rådatakommune[[#This Row],[Totalareal2017-O]]</f>
        <v>2.7284858977133379</v>
      </c>
      <c r="P85" s="32">
        <f>Rådatakommune[[#This Row],[B17-O]]/Rådatakommune[[#This Row],[B07-O]]-1</f>
        <v>-5.2598622417031948E-2</v>
      </c>
      <c r="Q85" s="32">
        <f>Rådatakommune[[#This Row],[Kvinner20-39-O]]/Rådatakommune[[#This Row],[B17-O]]</f>
        <v>9.2200925313945803E-2</v>
      </c>
      <c r="R85" s="32">
        <f>Rådatakommune[[#This Row],[Eldre67+-O]]/Rådatakommune[[#This Row],[B17-O]]</f>
        <v>0.21810971579643093</v>
      </c>
      <c r="S85" s="32">
        <f>Rådatakommune[[#This Row],[S16-O]]/Rådatakommune[[#This Row],[S06-O]]-1</f>
        <v>-7.8592814371257536E-2</v>
      </c>
      <c r="T85" s="32">
        <f>Rådatakommune[[#This Row],[Y16-O]]/Rådatakommune[[#This Row],[Folk20-64-O]]</f>
        <v>0.92188468691878489</v>
      </c>
    </row>
    <row r="86" spans="1:20" x14ac:dyDescent="0.25">
      <c r="A86" s="2" t="s">
        <v>85</v>
      </c>
      <c r="B86" s="2">
        <v>85</v>
      </c>
      <c r="C86" s="35">
        <v>1394</v>
      </c>
      <c r="D86" s="34">
        <v>1351</v>
      </c>
      <c r="E86" s="31">
        <v>633</v>
      </c>
      <c r="F86" s="36">
        <v>294</v>
      </c>
      <c r="G86" s="37">
        <v>117</v>
      </c>
      <c r="H86">
        <v>724</v>
      </c>
      <c r="I86" s="31">
        <v>497</v>
      </c>
      <c r="J86" s="31">
        <v>511</v>
      </c>
      <c r="K86" s="7">
        <v>459.15</v>
      </c>
      <c r="L86" s="38">
        <v>336600</v>
      </c>
      <c r="M86" s="39">
        <v>134.46875</v>
      </c>
      <c r="N86">
        <v>5</v>
      </c>
      <c r="O86" s="30">
        <f>Rådatakommune[[#This Row],[B17-O]]/Rådatakommune[[#This Row],[Totalareal2017-O]]</f>
        <v>2.9423935533050205</v>
      </c>
      <c r="P86" s="32">
        <f>Rådatakommune[[#This Row],[B17-O]]/Rådatakommune[[#This Row],[B07-O]]-1</f>
        <v>-3.0846484935437624E-2</v>
      </c>
      <c r="Q86" s="32">
        <f>Rådatakommune[[#This Row],[Kvinner20-39-O]]/Rådatakommune[[#This Row],[B17-O]]</f>
        <v>8.6602516654330122E-2</v>
      </c>
      <c r="R86" s="32">
        <f>Rådatakommune[[#This Row],[Eldre67+-O]]/Rådatakommune[[#This Row],[B17-O]]</f>
        <v>0.21761658031088082</v>
      </c>
      <c r="S86" s="32">
        <f>Rådatakommune[[#This Row],[S16-O]]/Rådatakommune[[#This Row],[S06-O]]-1</f>
        <v>2.8169014084507005E-2</v>
      </c>
      <c r="T86" s="32">
        <f>Rådatakommune[[#This Row],[Y16-O]]/Rådatakommune[[#This Row],[Folk20-64-O]]</f>
        <v>0.87430939226519333</v>
      </c>
    </row>
    <row r="87" spans="1:20" x14ac:dyDescent="0.25">
      <c r="A87" s="2" t="s">
        <v>86</v>
      </c>
      <c r="B87" s="2">
        <v>86</v>
      </c>
      <c r="C87" s="35">
        <v>6388</v>
      </c>
      <c r="D87" s="34">
        <v>6490</v>
      </c>
      <c r="E87" s="31">
        <v>3376</v>
      </c>
      <c r="F87" s="36">
        <v>1244</v>
      </c>
      <c r="G87" s="37">
        <v>671</v>
      </c>
      <c r="H87">
        <v>3663</v>
      </c>
      <c r="I87" s="31">
        <v>4125</v>
      </c>
      <c r="J87" s="31">
        <v>3997</v>
      </c>
      <c r="K87" s="7">
        <v>906.52</v>
      </c>
      <c r="L87" s="38">
        <v>385400</v>
      </c>
      <c r="M87" s="39">
        <v>147.3125</v>
      </c>
      <c r="N87">
        <v>10</v>
      </c>
      <c r="O87" s="30">
        <f>Rådatakommune[[#This Row],[B17-O]]/Rådatakommune[[#This Row],[Totalareal2017-O]]</f>
        <v>7.1592463486740501</v>
      </c>
      <c r="P87" s="32">
        <f>Rådatakommune[[#This Row],[B17-O]]/Rådatakommune[[#This Row],[B07-O]]-1</f>
        <v>1.5967438948027546E-2</v>
      </c>
      <c r="Q87" s="32">
        <f>Rådatakommune[[#This Row],[Kvinner20-39-O]]/Rådatakommune[[#This Row],[B17-O]]</f>
        <v>0.10338983050847457</v>
      </c>
      <c r="R87" s="32">
        <f>Rådatakommune[[#This Row],[Eldre67+-O]]/Rådatakommune[[#This Row],[B17-O]]</f>
        <v>0.19167950693374422</v>
      </c>
      <c r="S87" s="32">
        <f>Rådatakommune[[#This Row],[S16-O]]/Rådatakommune[[#This Row],[S06-O]]-1</f>
        <v>-3.1030303030303075E-2</v>
      </c>
      <c r="T87" s="32">
        <f>Rådatakommune[[#This Row],[Y16-O]]/Rådatakommune[[#This Row],[Folk20-64-O]]</f>
        <v>0.92164892164892165</v>
      </c>
    </row>
    <row r="88" spans="1:20" x14ac:dyDescent="0.25">
      <c r="A88" s="2" t="s">
        <v>87</v>
      </c>
      <c r="B88" s="2">
        <v>87</v>
      </c>
      <c r="C88" s="35">
        <v>2212</v>
      </c>
      <c r="D88" s="34">
        <v>2114</v>
      </c>
      <c r="E88" s="31">
        <v>1111</v>
      </c>
      <c r="F88" s="36">
        <v>422</v>
      </c>
      <c r="G88" s="37">
        <v>199</v>
      </c>
      <c r="H88">
        <v>1187</v>
      </c>
      <c r="I88" s="31">
        <v>929</v>
      </c>
      <c r="J88" s="31">
        <v>871</v>
      </c>
      <c r="K88" s="7">
        <v>463.25</v>
      </c>
      <c r="L88" s="38">
        <v>380500</v>
      </c>
      <c r="M88" s="39">
        <v>166.28125</v>
      </c>
      <c r="N88">
        <v>10</v>
      </c>
      <c r="O88" s="30">
        <f>Rådatakommune[[#This Row],[B17-O]]/Rådatakommune[[#This Row],[Totalareal2017-O]]</f>
        <v>4.5634106853750671</v>
      </c>
      <c r="P88" s="32">
        <f>Rådatakommune[[#This Row],[B17-O]]/Rådatakommune[[#This Row],[B07-O]]-1</f>
        <v>-4.4303797468354444E-2</v>
      </c>
      <c r="Q88" s="32">
        <f>Rådatakommune[[#This Row],[Kvinner20-39-O]]/Rådatakommune[[#This Row],[B17-O]]</f>
        <v>9.4134342478713343E-2</v>
      </c>
      <c r="R88" s="32">
        <f>Rådatakommune[[#This Row],[Eldre67+-O]]/Rådatakommune[[#This Row],[B17-O]]</f>
        <v>0.19962157048249762</v>
      </c>
      <c r="S88" s="32">
        <f>Rådatakommune[[#This Row],[S16-O]]/Rådatakommune[[#This Row],[S06-O]]-1</f>
        <v>-6.243272335844996E-2</v>
      </c>
      <c r="T88" s="32">
        <f>Rådatakommune[[#This Row],[Y16-O]]/Rådatakommune[[#This Row],[Folk20-64-O]]</f>
        <v>0.93597304128053915</v>
      </c>
    </row>
    <row r="89" spans="1:20" x14ac:dyDescent="0.25">
      <c r="A89" s="2" t="s">
        <v>88</v>
      </c>
      <c r="B89" s="2">
        <v>88</v>
      </c>
      <c r="C89" s="35">
        <v>3166</v>
      </c>
      <c r="D89" s="34">
        <v>3248</v>
      </c>
      <c r="E89" s="31">
        <v>1772</v>
      </c>
      <c r="F89" s="36">
        <v>590</v>
      </c>
      <c r="G89" s="37">
        <v>386</v>
      </c>
      <c r="H89">
        <v>1847</v>
      </c>
      <c r="I89" s="31">
        <v>1363</v>
      </c>
      <c r="J89" s="31">
        <v>1350</v>
      </c>
      <c r="K89" s="7">
        <v>963.11</v>
      </c>
      <c r="L89" s="38">
        <v>388700</v>
      </c>
      <c r="M89" s="39">
        <v>166.375</v>
      </c>
      <c r="N89">
        <v>10</v>
      </c>
      <c r="O89" s="30">
        <f>Rådatakommune[[#This Row],[B17-O]]/Rådatakommune[[#This Row],[Totalareal2017-O]]</f>
        <v>3.3724081361422891</v>
      </c>
      <c r="P89" s="32">
        <f>Rådatakommune[[#This Row],[B17-O]]/Rådatakommune[[#This Row],[B07-O]]-1</f>
        <v>2.5900189513581751E-2</v>
      </c>
      <c r="Q89" s="32">
        <f>Rådatakommune[[#This Row],[Kvinner20-39-O]]/Rådatakommune[[#This Row],[B17-O]]</f>
        <v>0.1188423645320197</v>
      </c>
      <c r="R89" s="32">
        <f>Rådatakommune[[#This Row],[Eldre67+-O]]/Rådatakommune[[#This Row],[B17-O]]</f>
        <v>0.18165024630541871</v>
      </c>
      <c r="S89" s="32">
        <f>Rådatakommune[[#This Row],[S16-O]]/Rådatakommune[[#This Row],[S06-O]]-1</f>
        <v>-9.5377842993397133E-3</v>
      </c>
      <c r="T89" s="32">
        <f>Rådatakommune[[#This Row],[Y16-O]]/Rådatakommune[[#This Row],[Folk20-64-O]]</f>
        <v>0.95939361126150513</v>
      </c>
    </row>
    <row r="90" spans="1:20" x14ac:dyDescent="0.25">
      <c r="A90" s="2" t="s">
        <v>89</v>
      </c>
      <c r="B90" s="2">
        <v>89</v>
      </c>
      <c r="C90" s="35">
        <v>1591</v>
      </c>
      <c r="D90" s="34">
        <v>1596</v>
      </c>
      <c r="E90" s="31">
        <v>824</v>
      </c>
      <c r="F90" s="36">
        <v>307</v>
      </c>
      <c r="G90" s="37">
        <v>177</v>
      </c>
      <c r="H90">
        <v>907</v>
      </c>
      <c r="I90" s="31">
        <v>729</v>
      </c>
      <c r="J90" s="31">
        <v>734</v>
      </c>
      <c r="K90" s="7">
        <v>1505.4499999999998</v>
      </c>
      <c r="L90" s="38">
        <v>341300</v>
      </c>
      <c r="M90" s="39">
        <v>187.75</v>
      </c>
      <c r="N90">
        <v>10</v>
      </c>
      <c r="O90" s="30">
        <f>Rådatakommune[[#This Row],[B17-O]]/Rådatakommune[[#This Row],[Totalareal2017-O]]</f>
        <v>1.0601481284665717</v>
      </c>
      <c r="P90" s="32">
        <f>Rådatakommune[[#This Row],[B17-O]]/Rådatakommune[[#This Row],[B07-O]]-1</f>
        <v>3.14267756128217E-3</v>
      </c>
      <c r="Q90" s="32">
        <f>Rådatakommune[[#This Row],[Kvinner20-39-O]]/Rådatakommune[[#This Row],[B17-O]]</f>
        <v>0.11090225563909774</v>
      </c>
      <c r="R90" s="32">
        <f>Rådatakommune[[#This Row],[Eldre67+-O]]/Rådatakommune[[#This Row],[B17-O]]</f>
        <v>0.19235588972431078</v>
      </c>
      <c r="S90" s="32">
        <f>Rådatakommune[[#This Row],[S16-O]]/Rådatakommune[[#This Row],[S06-O]]-1</f>
        <v>6.8587105624142719E-3</v>
      </c>
      <c r="T90" s="32">
        <f>Rådatakommune[[#This Row],[Y16-O]]/Rådatakommune[[#This Row],[Folk20-64-O]]</f>
        <v>0.90848952590959209</v>
      </c>
    </row>
    <row r="91" spans="1:20" x14ac:dyDescent="0.25">
      <c r="A91" s="2" t="s">
        <v>90</v>
      </c>
      <c r="B91" s="2">
        <v>90</v>
      </c>
      <c r="C91" s="35">
        <v>58730</v>
      </c>
      <c r="D91" s="34">
        <v>68363</v>
      </c>
      <c r="E91" s="31">
        <v>32523</v>
      </c>
      <c r="F91" s="36">
        <v>10389</v>
      </c>
      <c r="G91" s="37">
        <v>9160</v>
      </c>
      <c r="H91">
        <v>40612</v>
      </c>
      <c r="I91" s="31">
        <v>33706</v>
      </c>
      <c r="J91" s="31">
        <v>36105</v>
      </c>
      <c r="K91" s="7">
        <v>138.19</v>
      </c>
      <c r="L91" s="38">
        <v>435800</v>
      </c>
      <c r="M91" s="39">
        <v>30.21484375</v>
      </c>
      <c r="N91">
        <v>2</v>
      </c>
      <c r="O91" s="30">
        <f>Rådatakommune[[#This Row],[B17-O]]/Rådatakommune[[#This Row],[Totalareal2017-O]]</f>
        <v>494.70294522034879</v>
      </c>
      <c r="P91" s="32">
        <f>Rådatakommune[[#This Row],[B17-O]]/Rådatakommune[[#This Row],[B07-O]]-1</f>
        <v>0.16402179465349898</v>
      </c>
      <c r="Q91" s="32">
        <f>Rådatakommune[[#This Row],[Kvinner20-39-O]]/Rådatakommune[[#This Row],[B17-O]]</f>
        <v>0.13399060895513656</v>
      </c>
      <c r="R91" s="32">
        <f>Rådatakommune[[#This Row],[Eldre67+-O]]/Rådatakommune[[#This Row],[B17-O]]</f>
        <v>0.1519681699164753</v>
      </c>
      <c r="S91" s="32">
        <f>Rådatakommune[[#This Row],[S16-O]]/Rådatakommune[[#This Row],[S06-O]]-1</f>
        <v>7.1174271643030806E-2</v>
      </c>
      <c r="T91" s="32">
        <f>Rådatakommune[[#This Row],[Y16-O]]/Rådatakommune[[#This Row],[Folk20-64-O]]</f>
        <v>0.80082241701960011</v>
      </c>
    </row>
    <row r="92" spans="1:20" x14ac:dyDescent="0.25">
      <c r="A92" s="2" t="s">
        <v>91</v>
      </c>
      <c r="B92" s="2">
        <v>91</v>
      </c>
      <c r="C92" s="35">
        <v>23644</v>
      </c>
      <c r="D92" s="34">
        <v>27216</v>
      </c>
      <c r="E92" s="31">
        <v>13358</v>
      </c>
      <c r="F92" s="36">
        <v>4303</v>
      </c>
      <c r="G92" s="37">
        <v>3263</v>
      </c>
      <c r="H92">
        <v>15941</v>
      </c>
      <c r="I92" s="31">
        <v>14323</v>
      </c>
      <c r="J92" s="31">
        <v>15727</v>
      </c>
      <c r="K92" s="7">
        <v>793.08999999999992</v>
      </c>
      <c r="L92" s="38">
        <v>467700</v>
      </c>
      <c r="M92" s="39">
        <v>58.890625</v>
      </c>
      <c r="N92">
        <v>5</v>
      </c>
      <c r="O92" s="30">
        <f>Rådatakommune[[#This Row],[B17-O]]/Rådatakommune[[#This Row],[Totalareal2017-O]]</f>
        <v>34.316407973874341</v>
      </c>
      <c r="P92" s="32">
        <f>Rådatakommune[[#This Row],[B17-O]]/Rådatakommune[[#This Row],[B07-O]]-1</f>
        <v>0.15107426831331416</v>
      </c>
      <c r="Q92" s="32">
        <f>Rådatakommune[[#This Row],[Kvinner20-39-O]]/Rådatakommune[[#This Row],[B17-O]]</f>
        <v>0.11989271017048794</v>
      </c>
      <c r="R92" s="32">
        <f>Rådatakommune[[#This Row],[Eldre67+-O]]/Rådatakommune[[#This Row],[B17-O]]</f>
        <v>0.15810552616108173</v>
      </c>
      <c r="S92" s="32">
        <f>Rådatakommune[[#This Row],[S16-O]]/Rådatakommune[[#This Row],[S06-O]]-1</f>
        <v>9.8024156950359487E-2</v>
      </c>
      <c r="T92" s="32">
        <f>Rådatakommune[[#This Row],[Y16-O]]/Rådatakommune[[#This Row],[Folk20-64-O]]</f>
        <v>0.8379649959224641</v>
      </c>
    </row>
    <row r="93" spans="1:20" x14ac:dyDescent="0.25">
      <c r="A93" s="2" t="s">
        <v>92</v>
      </c>
      <c r="B93" s="2">
        <v>92</v>
      </c>
      <c r="C93" s="35">
        <v>28385</v>
      </c>
      <c r="D93" s="34">
        <v>30034</v>
      </c>
      <c r="E93" s="31">
        <v>14516</v>
      </c>
      <c r="F93" s="36">
        <v>5146</v>
      </c>
      <c r="G93" s="37">
        <v>3550</v>
      </c>
      <c r="H93">
        <v>17695</v>
      </c>
      <c r="I93" s="31">
        <v>13751</v>
      </c>
      <c r="J93" s="31">
        <v>13784</v>
      </c>
      <c r="K93" s="7">
        <v>1555.08</v>
      </c>
      <c r="L93" s="38">
        <v>399000</v>
      </c>
      <c r="M93" s="39">
        <v>47.3203125</v>
      </c>
      <c r="N93">
        <v>5</v>
      </c>
      <c r="O93" s="30">
        <f>Rådatakommune[[#This Row],[B17-O]]/Rådatakommune[[#This Row],[Totalareal2017-O]]</f>
        <v>19.313475834040695</v>
      </c>
      <c r="P93" s="32">
        <f>Rådatakommune[[#This Row],[B17-O]]/Rådatakommune[[#This Row],[B07-O]]-1</f>
        <v>5.8094063766073623E-2</v>
      </c>
      <c r="Q93" s="32">
        <f>Rådatakommune[[#This Row],[Kvinner20-39-O]]/Rådatakommune[[#This Row],[B17-O]]</f>
        <v>0.11819937404275155</v>
      </c>
      <c r="R93" s="32">
        <f>Rådatakommune[[#This Row],[Eldre67+-O]]/Rådatakommune[[#This Row],[B17-O]]</f>
        <v>0.17133914896450689</v>
      </c>
      <c r="S93" s="32">
        <f>Rådatakommune[[#This Row],[S16-O]]/Rådatakommune[[#This Row],[S06-O]]-1</f>
        <v>2.3998254672388253E-3</v>
      </c>
      <c r="T93" s="32">
        <f>Rådatakommune[[#This Row],[Y16-O]]/Rådatakommune[[#This Row],[Folk20-64-O]]</f>
        <v>0.82034473014975984</v>
      </c>
    </row>
    <row r="94" spans="1:20" x14ac:dyDescent="0.25">
      <c r="A94" s="2" t="s">
        <v>93</v>
      </c>
      <c r="B94" s="2">
        <v>93</v>
      </c>
      <c r="C94" s="35">
        <v>5436</v>
      </c>
      <c r="D94" s="34">
        <v>6772</v>
      </c>
      <c r="E94" s="31">
        <v>3405</v>
      </c>
      <c r="F94" s="36">
        <v>986</v>
      </c>
      <c r="G94" s="37">
        <v>752</v>
      </c>
      <c r="H94">
        <v>3939</v>
      </c>
      <c r="I94" s="31">
        <v>1824</v>
      </c>
      <c r="J94" s="31">
        <v>2235</v>
      </c>
      <c r="K94" s="7">
        <v>192.69</v>
      </c>
      <c r="L94" s="38">
        <v>480700</v>
      </c>
      <c r="M94" s="39">
        <v>36.9921875</v>
      </c>
      <c r="N94">
        <v>5</v>
      </c>
      <c r="O94" s="30">
        <f>Rådatakommune[[#This Row],[B17-O]]/Rådatakommune[[#This Row],[Totalareal2017-O]]</f>
        <v>35.144532669053923</v>
      </c>
      <c r="P94" s="32">
        <f>Rådatakommune[[#This Row],[B17-O]]/Rådatakommune[[#This Row],[B07-O]]-1</f>
        <v>0.24576894775570279</v>
      </c>
      <c r="Q94" s="32">
        <f>Rådatakommune[[#This Row],[Kvinner20-39-O]]/Rådatakommune[[#This Row],[B17-O]]</f>
        <v>0.11104548139397519</v>
      </c>
      <c r="R94" s="32">
        <f>Rådatakommune[[#This Row],[Eldre67+-O]]/Rådatakommune[[#This Row],[B17-O]]</f>
        <v>0.14559952746603663</v>
      </c>
      <c r="S94" s="32">
        <f>Rådatakommune[[#This Row],[S16-O]]/Rådatakommune[[#This Row],[S06-O]]-1</f>
        <v>0.22532894736842102</v>
      </c>
      <c r="T94" s="32">
        <f>Rådatakommune[[#This Row],[Y16-O]]/Rådatakommune[[#This Row],[Folk20-64-O]]</f>
        <v>0.8644325971058644</v>
      </c>
    </row>
    <row r="95" spans="1:20" x14ac:dyDescent="0.25">
      <c r="A95" s="2" t="s">
        <v>94</v>
      </c>
      <c r="B95" s="2">
        <v>94</v>
      </c>
      <c r="C95" s="35">
        <v>989</v>
      </c>
      <c r="D95" s="34">
        <v>1081</v>
      </c>
      <c r="E95" s="31">
        <v>532</v>
      </c>
      <c r="F95" s="36">
        <v>226</v>
      </c>
      <c r="G95" s="37">
        <v>109</v>
      </c>
      <c r="H95">
        <v>601</v>
      </c>
      <c r="I95" s="31">
        <v>381</v>
      </c>
      <c r="J95" s="31">
        <v>442</v>
      </c>
      <c r="K95" s="7">
        <v>704.41000000000008</v>
      </c>
      <c r="L95" s="38">
        <v>382600</v>
      </c>
      <c r="M95" s="39">
        <v>92.40625</v>
      </c>
      <c r="N95">
        <v>8</v>
      </c>
      <c r="O95" s="30">
        <f>Rådatakommune[[#This Row],[B17-O]]/Rådatakommune[[#This Row],[Totalareal2017-O]]</f>
        <v>1.5346176232591813</v>
      </c>
      <c r="P95" s="32">
        <f>Rådatakommune[[#This Row],[B17-O]]/Rådatakommune[[#This Row],[B07-O]]-1</f>
        <v>9.3023255813953432E-2</v>
      </c>
      <c r="Q95" s="32">
        <f>Rådatakommune[[#This Row],[Kvinner20-39-O]]/Rådatakommune[[#This Row],[B17-O]]</f>
        <v>0.10083256244218317</v>
      </c>
      <c r="R95" s="32">
        <f>Rådatakommune[[#This Row],[Eldre67+-O]]/Rådatakommune[[#This Row],[B17-O]]</f>
        <v>0.20906567992599445</v>
      </c>
      <c r="S95" s="32">
        <f>Rådatakommune[[#This Row],[S16-O]]/Rådatakommune[[#This Row],[S06-O]]-1</f>
        <v>0.16010498687664043</v>
      </c>
      <c r="T95" s="32">
        <f>Rådatakommune[[#This Row],[Y16-O]]/Rådatakommune[[#This Row],[Folk20-64-O]]</f>
        <v>0.88519134775374375</v>
      </c>
    </row>
    <row r="96" spans="1:20" x14ac:dyDescent="0.25">
      <c r="A96" s="2" t="s">
        <v>95</v>
      </c>
      <c r="B96" s="2">
        <v>95</v>
      </c>
      <c r="C96" s="35">
        <v>3456</v>
      </c>
      <c r="D96" s="34">
        <v>3357</v>
      </c>
      <c r="E96" s="31">
        <v>1731</v>
      </c>
      <c r="F96" s="36">
        <v>678</v>
      </c>
      <c r="G96" s="37">
        <v>323</v>
      </c>
      <c r="H96">
        <v>1883</v>
      </c>
      <c r="I96" s="31">
        <v>1581</v>
      </c>
      <c r="J96" s="31">
        <v>1432</v>
      </c>
      <c r="K96" s="7">
        <v>809.67</v>
      </c>
      <c r="L96" s="38">
        <v>382200</v>
      </c>
      <c r="M96" s="39">
        <v>117.90625</v>
      </c>
      <c r="N96">
        <v>8</v>
      </c>
      <c r="O96" s="30">
        <f>Rådatakommune[[#This Row],[B17-O]]/Rådatakommune[[#This Row],[Totalareal2017-O]]</f>
        <v>4.1461336099892554</v>
      </c>
      <c r="P96" s="32">
        <f>Rådatakommune[[#This Row],[B17-O]]/Rådatakommune[[#This Row],[B07-O]]-1</f>
        <v>-2.864583333333337E-2</v>
      </c>
      <c r="Q96" s="32">
        <f>Rådatakommune[[#This Row],[Kvinner20-39-O]]/Rådatakommune[[#This Row],[B17-O]]</f>
        <v>9.6216860291927317E-2</v>
      </c>
      <c r="R96" s="32">
        <f>Rådatakommune[[#This Row],[Eldre67+-O]]/Rådatakommune[[#This Row],[B17-O]]</f>
        <v>0.20196604110813227</v>
      </c>
      <c r="S96" s="32">
        <f>Rådatakommune[[#This Row],[S16-O]]/Rådatakommune[[#This Row],[S06-O]]-1</f>
        <v>-9.4244149272612265E-2</v>
      </c>
      <c r="T96" s="32">
        <f>Rådatakommune[[#This Row],[Y16-O]]/Rådatakommune[[#This Row],[Folk20-64-O]]</f>
        <v>0.91927774827403075</v>
      </c>
    </row>
    <row r="97" spans="1:20" x14ac:dyDescent="0.25">
      <c r="A97" s="2" t="s">
        <v>96</v>
      </c>
      <c r="B97" s="2">
        <v>96</v>
      </c>
      <c r="C97" s="35">
        <v>4435</v>
      </c>
      <c r="D97" s="34">
        <v>4612</v>
      </c>
      <c r="E97" s="31">
        <v>2422</v>
      </c>
      <c r="F97" s="36">
        <v>882</v>
      </c>
      <c r="G97" s="37">
        <v>490</v>
      </c>
      <c r="H97">
        <v>2579</v>
      </c>
      <c r="I97" s="31">
        <v>2963</v>
      </c>
      <c r="J97" s="31">
        <v>2892</v>
      </c>
      <c r="K97" s="7">
        <v>532.49</v>
      </c>
      <c r="L97" s="38">
        <v>398600</v>
      </c>
      <c r="M97" s="39">
        <v>134.5625</v>
      </c>
      <c r="N97">
        <v>8</v>
      </c>
      <c r="O97" s="30">
        <f>Rådatakommune[[#This Row],[B17-O]]/Rådatakommune[[#This Row],[Totalareal2017-O]]</f>
        <v>8.6611955154087408</v>
      </c>
      <c r="P97" s="32">
        <f>Rådatakommune[[#This Row],[B17-O]]/Rådatakommune[[#This Row],[B07-O]]-1</f>
        <v>3.9909808342728281E-2</v>
      </c>
      <c r="Q97" s="32">
        <f>Rådatakommune[[#This Row],[Kvinner20-39-O]]/Rådatakommune[[#This Row],[B17-O]]</f>
        <v>0.10624457935819601</v>
      </c>
      <c r="R97" s="32">
        <f>Rådatakommune[[#This Row],[Eldre67+-O]]/Rådatakommune[[#This Row],[B17-O]]</f>
        <v>0.19124024284475283</v>
      </c>
      <c r="S97" s="32">
        <f>Rådatakommune[[#This Row],[S16-O]]/Rådatakommune[[#This Row],[S06-O]]-1</f>
        <v>-2.3962200472494088E-2</v>
      </c>
      <c r="T97" s="32">
        <f>Rådatakommune[[#This Row],[Y16-O]]/Rådatakommune[[#This Row],[Folk20-64-O]]</f>
        <v>0.9391236913532377</v>
      </c>
    </row>
    <row r="98" spans="1:20" x14ac:dyDescent="0.25">
      <c r="A98" s="2" t="s">
        <v>97</v>
      </c>
      <c r="B98" s="2">
        <v>97</v>
      </c>
      <c r="C98" s="35">
        <v>1963</v>
      </c>
      <c r="D98" s="34">
        <v>2442</v>
      </c>
      <c r="E98" s="31">
        <v>1307</v>
      </c>
      <c r="F98" s="36">
        <v>325</v>
      </c>
      <c r="G98" s="37">
        <v>311</v>
      </c>
      <c r="H98">
        <v>1483</v>
      </c>
      <c r="I98" s="31">
        <v>1029</v>
      </c>
      <c r="J98" s="31">
        <v>1125</v>
      </c>
      <c r="K98" s="7">
        <v>753.54</v>
      </c>
      <c r="L98" s="38">
        <v>395500</v>
      </c>
      <c r="M98" s="39">
        <v>159.625</v>
      </c>
      <c r="N98">
        <v>8</v>
      </c>
      <c r="O98" s="30">
        <f>Rådatakommune[[#This Row],[B17-O]]/Rådatakommune[[#This Row],[Totalareal2017-O]]</f>
        <v>3.240703877697269</v>
      </c>
      <c r="P98" s="32">
        <f>Rådatakommune[[#This Row],[B17-O]]/Rådatakommune[[#This Row],[B07-O]]-1</f>
        <v>0.24401426388181346</v>
      </c>
      <c r="Q98" s="32">
        <f>Rådatakommune[[#This Row],[Kvinner20-39-O]]/Rådatakommune[[#This Row],[B17-O]]</f>
        <v>0.12735462735462735</v>
      </c>
      <c r="R98" s="32">
        <f>Rådatakommune[[#This Row],[Eldre67+-O]]/Rådatakommune[[#This Row],[B17-O]]</f>
        <v>0.13308763308763308</v>
      </c>
      <c r="S98" s="32">
        <f>Rådatakommune[[#This Row],[S16-O]]/Rådatakommune[[#This Row],[S06-O]]-1</f>
        <v>9.3294460641399457E-2</v>
      </c>
      <c r="T98" s="32">
        <f>Rådatakommune[[#This Row],[Y16-O]]/Rådatakommune[[#This Row],[Folk20-64-O]]</f>
        <v>0.88132164531355361</v>
      </c>
    </row>
    <row r="99" spans="1:20" x14ac:dyDescent="0.25">
      <c r="A99" s="2" t="s">
        <v>98</v>
      </c>
      <c r="B99" s="2">
        <v>98</v>
      </c>
      <c r="C99" s="35">
        <v>4642</v>
      </c>
      <c r="D99" s="34">
        <v>4719</v>
      </c>
      <c r="E99" s="31">
        <v>2443</v>
      </c>
      <c r="F99" s="36">
        <v>891</v>
      </c>
      <c r="G99" s="37">
        <v>436</v>
      </c>
      <c r="H99">
        <v>2576</v>
      </c>
      <c r="I99" s="31">
        <v>2366</v>
      </c>
      <c r="J99" s="31">
        <v>2446</v>
      </c>
      <c r="K99" s="7">
        <v>1174.92</v>
      </c>
      <c r="L99" s="38">
        <v>410500</v>
      </c>
      <c r="M99" s="39">
        <v>152.5625</v>
      </c>
      <c r="N99">
        <v>8</v>
      </c>
      <c r="O99" s="30">
        <f>Rådatakommune[[#This Row],[B17-O]]/Rådatakommune[[#This Row],[Totalareal2017-O]]</f>
        <v>4.0164436727606985</v>
      </c>
      <c r="P99" s="32">
        <f>Rådatakommune[[#This Row],[B17-O]]/Rådatakommune[[#This Row],[B07-O]]-1</f>
        <v>1.6587677725118377E-2</v>
      </c>
      <c r="Q99" s="32">
        <f>Rådatakommune[[#This Row],[Kvinner20-39-O]]/Rådatakommune[[#This Row],[B17-O]]</f>
        <v>9.2392456028819667E-2</v>
      </c>
      <c r="R99" s="32">
        <f>Rådatakommune[[#This Row],[Eldre67+-O]]/Rådatakommune[[#This Row],[B17-O]]</f>
        <v>0.1888111888111888</v>
      </c>
      <c r="S99" s="32">
        <f>Rådatakommune[[#This Row],[S16-O]]/Rådatakommune[[#This Row],[S06-O]]-1</f>
        <v>3.3812341504649179E-2</v>
      </c>
      <c r="T99" s="32">
        <f>Rådatakommune[[#This Row],[Y16-O]]/Rådatakommune[[#This Row],[Folk20-64-O]]</f>
        <v>0.94836956521739135</v>
      </c>
    </row>
    <row r="100" spans="1:20" x14ac:dyDescent="0.25">
      <c r="A100" s="2" t="s">
        <v>99</v>
      </c>
      <c r="B100" s="2">
        <v>99</v>
      </c>
      <c r="C100" s="35">
        <v>4475</v>
      </c>
      <c r="D100" s="34">
        <v>4535</v>
      </c>
      <c r="E100" s="31">
        <v>2452</v>
      </c>
      <c r="F100" s="36">
        <v>865</v>
      </c>
      <c r="G100" s="37">
        <v>544</v>
      </c>
      <c r="H100">
        <v>2648</v>
      </c>
      <c r="I100" s="31">
        <v>2257</v>
      </c>
      <c r="J100" s="31">
        <v>2226</v>
      </c>
      <c r="K100" s="7">
        <v>1854.6200000000001</v>
      </c>
      <c r="L100" s="38">
        <v>419300</v>
      </c>
      <c r="M100" s="39">
        <v>167.25</v>
      </c>
      <c r="N100">
        <v>8</v>
      </c>
      <c r="O100" s="30">
        <f>Rådatakommune[[#This Row],[B17-O]]/Rådatakommune[[#This Row],[Totalareal2017-O]]</f>
        <v>2.4452448480012077</v>
      </c>
      <c r="P100" s="32">
        <f>Rådatakommune[[#This Row],[B17-O]]/Rådatakommune[[#This Row],[B07-O]]-1</f>
        <v>1.3407821229050265E-2</v>
      </c>
      <c r="Q100" s="32">
        <f>Rådatakommune[[#This Row],[Kvinner20-39-O]]/Rådatakommune[[#This Row],[B17-O]]</f>
        <v>0.11995589856670341</v>
      </c>
      <c r="R100" s="32">
        <f>Rådatakommune[[#This Row],[Eldre67+-O]]/Rådatakommune[[#This Row],[B17-O]]</f>
        <v>0.19073869900771775</v>
      </c>
      <c r="S100" s="32">
        <f>Rådatakommune[[#This Row],[S16-O]]/Rådatakommune[[#This Row],[S06-O]]-1</f>
        <v>-1.3735046521931804E-2</v>
      </c>
      <c r="T100" s="32">
        <f>Rådatakommune[[#This Row],[Y16-O]]/Rådatakommune[[#This Row],[Folk20-64-O]]</f>
        <v>0.92598187311178248</v>
      </c>
    </row>
    <row r="101" spans="1:20" x14ac:dyDescent="0.25">
      <c r="A101" s="2" t="s">
        <v>100</v>
      </c>
      <c r="B101" s="2">
        <v>100</v>
      </c>
      <c r="C101" s="35">
        <v>3496</v>
      </c>
      <c r="D101" s="34">
        <v>3502</v>
      </c>
      <c r="E101" s="31">
        <v>1841</v>
      </c>
      <c r="F101" s="36">
        <v>667</v>
      </c>
      <c r="G101" s="37">
        <v>328</v>
      </c>
      <c r="H101">
        <v>1932</v>
      </c>
      <c r="I101" s="31">
        <v>1515</v>
      </c>
      <c r="J101" s="31">
        <v>1522</v>
      </c>
      <c r="K101" s="7">
        <v>842.28000000000009</v>
      </c>
      <c r="L101" s="38">
        <v>442600</v>
      </c>
      <c r="M101" s="39">
        <v>80.65625</v>
      </c>
      <c r="N101">
        <v>2</v>
      </c>
      <c r="O101" s="30">
        <f>Rådatakommune[[#This Row],[B17-O]]/Rådatakommune[[#This Row],[Totalareal2017-O]]</f>
        <v>4.1577622643301515</v>
      </c>
      <c r="P101" s="32">
        <f>Rådatakommune[[#This Row],[B17-O]]/Rådatakommune[[#This Row],[B07-O]]-1</f>
        <v>1.7162471395881784E-3</v>
      </c>
      <c r="Q101" s="32">
        <f>Rådatakommune[[#This Row],[Kvinner20-39-O]]/Rådatakommune[[#This Row],[B17-O]]</f>
        <v>9.3660765276984581E-2</v>
      </c>
      <c r="R101" s="32">
        <f>Rådatakommune[[#This Row],[Eldre67+-O]]/Rådatakommune[[#This Row],[B17-O]]</f>
        <v>0.19046259280411193</v>
      </c>
      <c r="S101" s="32">
        <f>Rådatakommune[[#This Row],[S16-O]]/Rådatakommune[[#This Row],[S06-O]]-1</f>
        <v>4.6204620462046986E-3</v>
      </c>
      <c r="T101" s="32">
        <f>Rådatakommune[[#This Row],[Y16-O]]/Rådatakommune[[#This Row],[Folk20-64-O]]</f>
        <v>0.95289855072463769</v>
      </c>
    </row>
    <row r="102" spans="1:20" x14ac:dyDescent="0.25">
      <c r="A102" s="2" t="s">
        <v>101</v>
      </c>
      <c r="B102" s="2">
        <v>101</v>
      </c>
      <c r="C102" s="35">
        <v>2120</v>
      </c>
      <c r="D102" s="34">
        <v>2257</v>
      </c>
      <c r="E102" s="31">
        <v>1156</v>
      </c>
      <c r="F102" s="36">
        <v>401</v>
      </c>
      <c r="G102" s="37">
        <v>249</v>
      </c>
      <c r="H102">
        <v>1309</v>
      </c>
      <c r="I102" s="31">
        <v>929</v>
      </c>
      <c r="J102" s="31">
        <v>1070</v>
      </c>
      <c r="K102" s="7">
        <v>374.51</v>
      </c>
      <c r="L102" s="38">
        <v>425800</v>
      </c>
      <c r="M102" s="39">
        <v>79.796875</v>
      </c>
      <c r="N102">
        <v>5</v>
      </c>
      <c r="O102" s="30">
        <f>Rådatakommune[[#This Row],[B17-O]]/Rådatakommune[[#This Row],[Totalareal2017-O]]</f>
        <v>6.0265413473605509</v>
      </c>
      <c r="P102" s="32">
        <f>Rådatakommune[[#This Row],[B17-O]]/Rådatakommune[[#This Row],[B07-O]]-1</f>
        <v>6.4622641509433976E-2</v>
      </c>
      <c r="Q102" s="32">
        <f>Rådatakommune[[#This Row],[Kvinner20-39-O]]/Rådatakommune[[#This Row],[B17-O]]</f>
        <v>0.11032343819229065</v>
      </c>
      <c r="R102" s="32">
        <f>Rådatakommune[[#This Row],[Eldre67+-O]]/Rådatakommune[[#This Row],[B17-O]]</f>
        <v>0.17766947275143996</v>
      </c>
      <c r="S102" s="32">
        <f>Rådatakommune[[#This Row],[S16-O]]/Rådatakommune[[#This Row],[S06-O]]-1</f>
        <v>0.15177610333692138</v>
      </c>
      <c r="T102" s="32">
        <f>Rådatakommune[[#This Row],[Y16-O]]/Rådatakommune[[#This Row],[Folk20-64-O]]</f>
        <v>0.88311688311688308</v>
      </c>
    </row>
    <row r="103" spans="1:20" x14ac:dyDescent="0.25">
      <c r="A103" s="2" t="s">
        <v>102</v>
      </c>
      <c r="B103" s="2">
        <v>102</v>
      </c>
      <c r="C103" s="35">
        <v>12589</v>
      </c>
      <c r="D103" s="34">
        <v>13786</v>
      </c>
      <c r="E103" s="31">
        <v>6602</v>
      </c>
      <c r="F103" s="36">
        <v>2330</v>
      </c>
      <c r="G103" s="37">
        <v>1538</v>
      </c>
      <c r="H103">
        <v>7973</v>
      </c>
      <c r="I103" s="31">
        <v>5220</v>
      </c>
      <c r="J103" s="31">
        <v>5349</v>
      </c>
      <c r="K103" s="7">
        <v>517.17999999999995</v>
      </c>
      <c r="L103" s="38">
        <v>396600</v>
      </c>
      <c r="M103" s="39">
        <v>64.703125</v>
      </c>
      <c r="N103">
        <v>2</v>
      </c>
      <c r="O103" s="30">
        <f>Rådatakommune[[#This Row],[B17-O]]/Rådatakommune[[#This Row],[Totalareal2017-O]]</f>
        <v>26.656096523454121</v>
      </c>
      <c r="P103" s="32">
        <f>Rådatakommune[[#This Row],[B17-O]]/Rådatakommune[[#This Row],[B07-O]]-1</f>
        <v>9.5083008976090344E-2</v>
      </c>
      <c r="Q103" s="32">
        <f>Rådatakommune[[#This Row],[Kvinner20-39-O]]/Rådatakommune[[#This Row],[B17-O]]</f>
        <v>0.11156245466415204</v>
      </c>
      <c r="R103" s="32">
        <f>Rådatakommune[[#This Row],[Eldre67+-O]]/Rådatakommune[[#This Row],[B17-O]]</f>
        <v>0.16901204120121863</v>
      </c>
      <c r="S103" s="32">
        <f>Rådatakommune[[#This Row],[S16-O]]/Rådatakommune[[#This Row],[S06-O]]-1</f>
        <v>2.4712643678160839E-2</v>
      </c>
      <c r="T103" s="32">
        <f>Rådatakommune[[#This Row],[Y16-O]]/Rådatakommune[[#This Row],[Folk20-64-O]]</f>
        <v>0.82804465069609934</v>
      </c>
    </row>
    <row r="104" spans="1:20" x14ac:dyDescent="0.25">
      <c r="A104" s="2" t="s">
        <v>103</v>
      </c>
      <c r="B104" s="2">
        <v>103</v>
      </c>
      <c r="C104" s="35">
        <v>15956</v>
      </c>
      <c r="D104" s="34">
        <v>18562</v>
      </c>
      <c r="E104" s="31">
        <v>9172</v>
      </c>
      <c r="F104" s="36">
        <v>2745</v>
      </c>
      <c r="G104" s="37">
        <v>2256</v>
      </c>
      <c r="H104">
        <v>10900</v>
      </c>
      <c r="I104" s="31">
        <v>5426</v>
      </c>
      <c r="J104" s="31">
        <v>6371</v>
      </c>
      <c r="K104" s="7">
        <v>456.69000000000005</v>
      </c>
      <c r="L104" s="38">
        <v>420100</v>
      </c>
      <c r="M104" s="39">
        <v>44.6015625</v>
      </c>
      <c r="N104">
        <v>2</v>
      </c>
      <c r="O104" s="30">
        <f>Rådatakommune[[#This Row],[B17-O]]/Rådatakommune[[#This Row],[Totalareal2017-O]]</f>
        <v>40.644638595108276</v>
      </c>
      <c r="P104" s="32">
        <f>Rådatakommune[[#This Row],[B17-O]]/Rådatakommune[[#This Row],[B07-O]]-1</f>
        <v>0.16332414138881934</v>
      </c>
      <c r="Q104" s="32">
        <f>Rådatakommune[[#This Row],[Kvinner20-39-O]]/Rådatakommune[[#This Row],[B17-O]]</f>
        <v>0.12153862730309234</v>
      </c>
      <c r="R104" s="32">
        <f>Rådatakommune[[#This Row],[Eldre67+-O]]/Rådatakommune[[#This Row],[B17-O]]</f>
        <v>0.14788277125309773</v>
      </c>
      <c r="S104" s="32">
        <f>Rådatakommune[[#This Row],[S16-O]]/Rådatakommune[[#This Row],[S06-O]]-1</f>
        <v>0.17416144489495022</v>
      </c>
      <c r="T104" s="32">
        <f>Rådatakommune[[#This Row],[Y16-O]]/Rådatakommune[[#This Row],[Folk20-64-O]]</f>
        <v>0.84146788990825683</v>
      </c>
    </row>
    <row r="105" spans="1:20" x14ac:dyDescent="0.25">
      <c r="A105" s="2" t="s">
        <v>104</v>
      </c>
      <c r="B105" s="2">
        <v>104</v>
      </c>
      <c r="C105" s="35">
        <v>21877</v>
      </c>
      <c r="D105" s="34">
        <v>24718</v>
      </c>
      <c r="E105" s="31">
        <v>11969</v>
      </c>
      <c r="F105" s="36">
        <v>3337</v>
      </c>
      <c r="G105" s="37">
        <v>3086</v>
      </c>
      <c r="H105">
        <v>14642</v>
      </c>
      <c r="I105" s="31">
        <v>6546</v>
      </c>
      <c r="J105" s="31">
        <v>7407</v>
      </c>
      <c r="K105" s="7">
        <v>121.75999999999999</v>
      </c>
      <c r="L105" s="38">
        <v>406800</v>
      </c>
      <c r="M105" s="39">
        <v>38.9453125</v>
      </c>
      <c r="N105">
        <v>2</v>
      </c>
      <c r="O105" s="30">
        <f>Rådatakommune[[#This Row],[B17-O]]/Rådatakommune[[#This Row],[Totalareal2017-O]]</f>
        <v>203.00591327201053</v>
      </c>
      <c r="P105" s="32">
        <f>Rådatakommune[[#This Row],[B17-O]]/Rådatakommune[[#This Row],[B07-O]]-1</f>
        <v>0.12986241257942122</v>
      </c>
      <c r="Q105" s="32">
        <f>Rådatakommune[[#This Row],[Kvinner20-39-O]]/Rådatakommune[[#This Row],[B17-O]]</f>
        <v>0.12484828869649649</v>
      </c>
      <c r="R105" s="32">
        <f>Rådatakommune[[#This Row],[Eldre67+-O]]/Rådatakommune[[#This Row],[B17-O]]</f>
        <v>0.13500283194433207</v>
      </c>
      <c r="S105" s="32">
        <f>Rådatakommune[[#This Row],[S16-O]]/Rådatakommune[[#This Row],[S06-O]]-1</f>
        <v>0.13153070577451875</v>
      </c>
      <c r="T105" s="32">
        <f>Rådatakommune[[#This Row],[Y16-O]]/Rådatakommune[[#This Row],[Folk20-64-O]]</f>
        <v>0.81744297227154761</v>
      </c>
    </row>
    <row r="106" spans="1:20" x14ac:dyDescent="0.25">
      <c r="A106" s="2" t="s">
        <v>105</v>
      </c>
      <c r="B106" s="2">
        <v>105</v>
      </c>
      <c r="C106" s="35">
        <v>22257</v>
      </c>
      <c r="D106" s="34">
        <v>25740</v>
      </c>
      <c r="E106" s="31">
        <v>13088</v>
      </c>
      <c r="F106" s="36">
        <v>3600</v>
      </c>
      <c r="G106" s="37">
        <v>2985</v>
      </c>
      <c r="H106">
        <v>15043</v>
      </c>
      <c r="I106" s="31">
        <v>11032</v>
      </c>
      <c r="J106" s="31">
        <v>13475</v>
      </c>
      <c r="K106" s="7">
        <v>301.67</v>
      </c>
      <c r="L106" s="38">
        <v>482800</v>
      </c>
      <c r="M106" s="39">
        <v>28.50390625</v>
      </c>
      <c r="N106">
        <v>2</v>
      </c>
      <c r="O106" s="30">
        <f>Rådatakommune[[#This Row],[B17-O]]/Rådatakommune[[#This Row],[Totalareal2017-O]]</f>
        <v>85.325024032883604</v>
      </c>
      <c r="P106" s="32">
        <f>Rådatakommune[[#This Row],[B17-O]]/Rådatakommune[[#This Row],[B07-O]]-1</f>
        <v>0.15649009300444794</v>
      </c>
      <c r="Q106" s="32">
        <f>Rådatakommune[[#This Row],[Kvinner20-39-O]]/Rådatakommune[[#This Row],[B17-O]]</f>
        <v>0.11596736596736597</v>
      </c>
      <c r="R106" s="32">
        <f>Rådatakommune[[#This Row],[Eldre67+-O]]/Rådatakommune[[#This Row],[B17-O]]</f>
        <v>0.13986013986013987</v>
      </c>
      <c r="S106" s="32">
        <f>Rådatakommune[[#This Row],[S16-O]]/Rådatakommune[[#This Row],[S06-O]]-1</f>
        <v>0.22144670050761417</v>
      </c>
      <c r="T106" s="32">
        <f>Rådatakommune[[#This Row],[Y16-O]]/Rådatakommune[[#This Row],[Folk20-64-O]]</f>
        <v>0.87003922090008645</v>
      </c>
    </row>
    <row r="107" spans="1:20" x14ac:dyDescent="0.25">
      <c r="A107" s="2" t="s">
        <v>106</v>
      </c>
      <c r="B107" s="2">
        <v>106</v>
      </c>
      <c r="C107" s="35">
        <v>17819</v>
      </c>
      <c r="D107" s="34">
        <v>21931</v>
      </c>
      <c r="E107" s="31">
        <v>11238</v>
      </c>
      <c r="F107" s="36">
        <v>2772</v>
      </c>
      <c r="G107" s="37">
        <v>2554</v>
      </c>
      <c r="H107">
        <v>12825</v>
      </c>
      <c r="I107" s="31">
        <v>4841</v>
      </c>
      <c r="J107" s="31">
        <v>5748</v>
      </c>
      <c r="K107" s="7">
        <v>112.63000000000001</v>
      </c>
      <c r="L107" s="38">
        <v>468600</v>
      </c>
      <c r="M107" s="39">
        <v>26.12109375</v>
      </c>
      <c r="N107">
        <v>1</v>
      </c>
      <c r="O107" s="30">
        <f>Rådatakommune[[#This Row],[B17-O]]/Rådatakommune[[#This Row],[Totalareal2017-O]]</f>
        <v>194.71721566190178</v>
      </c>
      <c r="P107" s="32">
        <f>Rådatakommune[[#This Row],[B17-O]]/Rådatakommune[[#This Row],[B07-O]]-1</f>
        <v>0.2307649138559964</v>
      </c>
      <c r="Q107" s="32">
        <f>Rådatakommune[[#This Row],[Kvinner20-39-O]]/Rådatakommune[[#This Row],[B17-O]]</f>
        <v>0.11645615794993389</v>
      </c>
      <c r="R107" s="32">
        <f>Rådatakommune[[#This Row],[Eldre67+-O]]/Rådatakommune[[#This Row],[B17-O]]</f>
        <v>0.12639642515161187</v>
      </c>
      <c r="S107" s="32">
        <f>Rådatakommune[[#This Row],[S16-O]]/Rådatakommune[[#This Row],[S06-O]]-1</f>
        <v>0.18735798388762648</v>
      </c>
      <c r="T107" s="32">
        <f>Rådatakommune[[#This Row],[Y16-O]]/Rådatakommune[[#This Row],[Folk20-64-O]]</f>
        <v>0.87625730994152051</v>
      </c>
    </row>
    <row r="108" spans="1:20" x14ac:dyDescent="0.25">
      <c r="A108" s="2" t="s">
        <v>107</v>
      </c>
      <c r="B108" s="2">
        <v>107</v>
      </c>
      <c r="C108" s="35">
        <v>8935</v>
      </c>
      <c r="D108" s="34">
        <v>9462</v>
      </c>
      <c r="E108" s="31">
        <v>4520</v>
      </c>
      <c r="F108" s="36">
        <v>1683</v>
      </c>
      <c r="G108" s="37">
        <v>928</v>
      </c>
      <c r="H108">
        <v>5386</v>
      </c>
      <c r="I108" s="31">
        <v>2849</v>
      </c>
      <c r="J108" s="31">
        <v>2540</v>
      </c>
      <c r="K108" s="7">
        <v>163.26</v>
      </c>
      <c r="L108" s="38">
        <v>422800</v>
      </c>
      <c r="M108" s="39">
        <v>52.9765625</v>
      </c>
      <c r="N108">
        <v>1</v>
      </c>
      <c r="O108" s="30">
        <f>Rådatakommune[[#This Row],[B17-O]]/Rådatakommune[[#This Row],[Totalareal2017-O]]</f>
        <v>57.9566335905917</v>
      </c>
      <c r="P108" s="32">
        <f>Rådatakommune[[#This Row],[B17-O]]/Rådatakommune[[#This Row],[B07-O]]-1</f>
        <v>5.8981533296026845E-2</v>
      </c>
      <c r="Q108" s="32">
        <f>Rådatakommune[[#This Row],[Kvinner20-39-O]]/Rådatakommune[[#This Row],[B17-O]]</f>
        <v>9.8076516592686541E-2</v>
      </c>
      <c r="R108" s="32">
        <f>Rådatakommune[[#This Row],[Eldre67+-O]]/Rådatakommune[[#This Row],[B17-O]]</f>
        <v>0.17786937222574509</v>
      </c>
      <c r="S108" s="32">
        <f>Rådatakommune[[#This Row],[S16-O]]/Rådatakommune[[#This Row],[S06-O]]-1</f>
        <v>-0.10845910845910844</v>
      </c>
      <c r="T108" s="32">
        <f>Rådatakommune[[#This Row],[Y16-O]]/Rådatakommune[[#This Row],[Folk20-64-O]]</f>
        <v>0.83921277385815074</v>
      </c>
    </row>
    <row r="109" spans="1:20" x14ac:dyDescent="0.25">
      <c r="A109" s="2" t="s">
        <v>108</v>
      </c>
      <c r="B109" s="2">
        <v>108</v>
      </c>
      <c r="C109" s="35">
        <v>2523</v>
      </c>
      <c r="D109" s="34">
        <v>2696</v>
      </c>
      <c r="E109" s="31">
        <v>1370</v>
      </c>
      <c r="F109" s="36">
        <v>476</v>
      </c>
      <c r="G109" s="37">
        <v>283</v>
      </c>
      <c r="H109">
        <v>1502</v>
      </c>
      <c r="I109" s="31">
        <v>772</v>
      </c>
      <c r="J109" s="31">
        <v>773</v>
      </c>
      <c r="K109" s="7">
        <v>561.91</v>
      </c>
      <c r="L109" s="38">
        <v>417200</v>
      </c>
      <c r="M109" s="39">
        <v>75.78125</v>
      </c>
      <c r="N109">
        <v>5</v>
      </c>
      <c r="O109" s="30">
        <f>Rådatakommune[[#This Row],[B17-O]]/Rådatakommune[[#This Row],[Totalareal2017-O]]</f>
        <v>4.7979213753092136</v>
      </c>
      <c r="P109" s="32">
        <f>Rådatakommune[[#This Row],[B17-O]]/Rådatakommune[[#This Row],[B07-O]]-1</f>
        <v>6.8569163694015112E-2</v>
      </c>
      <c r="Q109" s="32">
        <f>Rådatakommune[[#This Row],[Kvinner20-39-O]]/Rådatakommune[[#This Row],[B17-O]]</f>
        <v>0.10497032640949555</v>
      </c>
      <c r="R109" s="32">
        <f>Rådatakommune[[#This Row],[Eldre67+-O]]/Rådatakommune[[#This Row],[B17-O]]</f>
        <v>0.17655786350148367</v>
      </c>
      <c r="S109" s="32">
        <f>Rådatakommune[[#This Row],[S16-O]]/Rådatakommune[[#This Row],[S06-O]]-1</f>
        <v>1.2953367875647714E-3</v>
      </c>
      <c r="T109" s="32">
        <f>Rådatakommune[[#This Row],[Y16-O]]/Rådatakommune[[#This Row],[Folk20-64-O]]</f>
        <v>0.91211717709720375</v>
      </c>
    </row>
    <row r="110" spans="1:20" x14ac:dyDescent="0.25">
      <c r="A110" s="2" t="s">
        <v>109</v>
      </c>
      <c r="B110" s="2">
        <v>109</v>
      </c>
      <c r="C110" s="35">
        <v>1402</v>
      </c>
      <c r="D110" s="34">
        <v>1399</v>
      </c>
      <c r="E110" s="31">
        <v>721</v>
      </c>
      <c r="F110" s="36">
        <v>302</v>
      </c>
      <c r="G110" s="37">
        <v>126</v>
      </c>
      <c r="H110">
        <v>761</v>
      </c>
      <c r="I110" s="31">
        <v>616</v>
      </c>
      <c r="J110" s="31">
        <v>679</v>
      </c>
      <c r="K110" s="7">
        <v>449.29</v>
      </c>
      <c r="L110" s="38">
        <v>377600</v>
      </c>
      <c r="M110" s="39">
        <v>96.59375</v>
      </c>
      <c r="N110">
        <v>5</v>
      </c>
      <c r="O110" s="30">
        <f>Rådatakommune[[#This Row],[B17-O]]/Rådatakommune[[#This Row],[Totalareal2017-O]]</f>
        <v>3.1138017761356807</v>
      </c>
      <c r="P110" s="32">
        <f>Rådatakommune[[#This Row],[B17-O]]/Rådatakommune[[#This Row],[B07-O]]-1</f>
        <v>-2.1398002853066922E-3</v>
      </c>
      <c r="Q110" s="32">
        <f>Rådatakommune[[#This Row],[Kvinner20-39-O]]/Rådatakommune[[#This Row],[B17-O]]</f>
        <v>9.0064331665475339E-2</v>
      </c>
      <c r="R110" s="32">
        <f>Rådatakommune[[#This Row],[Eldre67+-O]]/Rådatakommune[[#This Row],[B17-O]]</f>
        <v>0.21586847748391708</v>
      </c>
      <c r="S110" s="32">
        <f>Rådatakommune[[#This Row],[S16-O]]/Rådatakommune[[#This Row],[S06-O]]-1</f>
        <v>0.10227272727272729</v>
      </c>
      <c r="T110" s="32">
        <f>Rådatakommune[[#This Row],[Y16-O]]/Rådatakommune[[#This Row],[Folk20-64-O]]</f>
        <v>0.94743758212877793</v>
      </c>
    </row>
    <row r="111" spans="1:20" x14ac:dyDescent="0.25">
      <c r="A111" s="2" t="s">
        <v>110</v>
      </c>
      <c r="B111" s="2">
        <v>110</v>
      </c>
      <c r="C111" s="35">
        <v>2526</v>
      </c>
      <c r="D111" s="34">
        <v>2530</v>
      </c>
      <c r="E111" s="31">
        <v>1371</v>
      </c>
      <c r="F111" s="36">
        <v>516</v>
      </c>
      <c r="G111" s="37">
        <v>224</v>
      </c>
      <c r="H111">
        <v>1406</v>
      </c>
      <c r="I111" s="31">
        <v>1258</v>
      </c>
      <c r="J111" s="31">
        <v>1262</v>
      </c>
      <c r="K111" s="7">
        <v>2502.29</v>
      </c>
      <c r="L111" s="38">
        <v>376900</v>
      </c>
      <c r="M111" s="39">
        <v>131.71875</v>
      </c>
      <c r="N111">
        <v>11</v>
      </c>
      <c r="O111" s="30">
        <f>Rådatakommune[[#This Row],[B17-O]]/Rådatakommune[[#This Row],[Totalareal2017-O]]</f>
        <v>1.0110738563475856</v>
      </c>
      <c r="P111" s="32">
        <f>Rådatakommune[[#This Row],[B17-O]]/Rådatakommune[[#This Row],[B07-O]]-1</f>
        <v>1.5835312747427555E-3</v>
      </c>
      <c r="Q111" s="32">
        <f>Rådatakommune[[#This Row],[Kvinner20-39-O]]/Rådatakommune[[#This Row],[B17-O]]</f>
        <v>8.8537549407114627E-2</v>
      </c>
      <c r="R111" s="32">
        <f>Rådatakommune[[#This Row],[Eldre67+-O]]/Rådatakommune[[#This Row],[B17-O]]</f>
        <v>0.20395256916996046</v>
      </c>
      <c r="S111" s="32">
        <f>Rådatakommune[[#This Row],[S16-O]]/Rådatakommune[[#This Row],[S06-O]]-1</f>
        <v>3.1796502384737746E-3</v>
      </c>
      <c r="T111" s="32">
        <f>Rådatakommune[[#This Row],[Y16-O]]/Rådatakommune[[#This Row],[Folk20-64-O]]</f>
        <v>0.9751066856330014</v>
      </c>
    </row>
    <row r="112" spans="1:20" x14ac:dyDescent="0.25">
      <c r="A112" s="2" t="s">
        <v>111</v>
      </c>
      <c r="B112" s="2">
        <v>111</v>
      </c>
      <c r="C112" s="35">
        <v>25011</v>
      </c>
      <c r="D112" s="34">
        <v>27202</v>
      </c>
      <c r="E112" s="31">
        <v>12201</v>
      </c>
      <c r="F112" s="36">
        <v>4561</v>
      </c>
      <c r="G112" s="37">
        <v>3073</v>
      </c>
      <c r="H112">
        <v>15691</v>
      </c>
      <c r="I112" s="31">
        <v>10323</v>
      </c>
      <c r="J112" s="31">
        <v>10884</v>
      </c>
      <c r="K112" s="7">
        <v>70.36</v>
      </c>
      <c r="L112" s="38">
        <v>400400</v>
      </c>
      <c r="M112" s="39">
        <v>63.1640625</v>
      </c>
      <c r="N112">
        <v>2</v>
      </c>
      <c r="O112" s="30">
        <f>Rådatakommune[[#This Row],[B17-O]]/Rådatakommune[[#This Row],[Totalareal2017-O]]</f>
        <v>386.6117111995452</v>
      </c>
      <c r="P112" s="32">
        <f>Rådatakommune[[#This Row],[B17-O]]/Rådatakommune[[#This Row],[B07-O]]-1</f>
        <v>8.7601455359641811E-2</v>
      </c>
      <c r="Q112" s="32">
        <f>Rådatakommune[[#This Row],[Kvinner20-39-O]]/Rådatakommune[[#This Row],[B17-O]]</f>
        <v>0.11296963458569223</v>
      </c>
      <c r="R112" s="32">
        <f>Rådatakommune[[#This Row],[Eldre67+-O]]/Rådatakommune[[#This Row],[B17-O]]</f>
        <v>0.16767149474303361</v>
      </c>
      <c r="S112" s="32">
        <f>Rådatakommune[[#This Row],[S16-O]]/Rådatakommune[[#This Row],[S06-O]]-1</f>
        <v>5.4344667247893108E-2</v>
      </c>
      <c r="T112" s="32">
        <f>Rådatakommune[[#This Row],[Y16-O]]/Rådatakommune[[#This Row],[Folk20-64-O]]</f>
        <v>0.7775795041743675</v>
      </c>
    </row>
    <row r="113" spans="1:20" x14ac:dyDescent="0.25">
      <c r="A113" s="2" t="s">
        <v>112</v>
      </c>
      <c r="B113" s="2">
        <v>112</v>
      </c>
      <c r="C113" s="35">
        <v>37493</v>
      </c>
      <c r="D113" s="34">
        <v>44922</v>
      </c>
      <c r="E113" s="31">
        <v>20817</v>
      </c>
      <c r="F113" s="36">
        <v>6937</v>
      </c>
      <c r="G113" s="37">
        <v>5788</v>
      </c>
      <c r="H113">
        <v>26674</v>
      </c>
      <c r="I113" s="31">
        <v>26467</v>
      </c>
      <c r="J113" s="31">
        <v>27810</v>
      </c>
      <c r="K113" s="7">
        <v>110.03</v>
      </c>
      <c r="L113" s="38">
        <v>439400</v>
      </c>
      <c r="M113" s="39">
        <v>66.21875</v>
      </c>
      <c r="N113">
        <v>2</v>
      </c>
      <c r="O113" s="30">
        <f>Rådatakommune[[#This Row],[B17-O]]/Rådatakommune[[#This Row],[Totalareal2017-O]]</f>
        <v>408.27047168953919</v>
      </c>
      <c r="P113" s="32">
        <f>Rådatakommune[[#This Row],[B17-O]]/Rådatakommune[[#This Row],[B07-O]]-1</f>
        <v>0.19814365348198337</v>
      </c>
      <c r="Q113" s="32">
        <f>Rådatakommune[[#This Row],[Kvinner20-39-O]]/Rådatakommune[[#This Row],[B17-O]]</f>
        <v>0.12884555451671786</v>
      </c>
      <c r="R113" s="32">
        <f>Rådatakommune[[#This Row],[Eldre67+-O]]/Rådatakommune[[#This Row],[B17-O]]</f>
        <v>0.15442322247451137</v>
      </c>
      <c r="S113" s="32">
        <f>Rådatakommune[[#This Row],[S16-O]]/Rådatakommune[[#This Row],[S06-O]]-1</f>
        <v>5.0742433974383161E-2</v>
      </c>
      <c r="T113" s="32">
        <f>Rådatakommune[[#This Row],[Y16-O]]/Rådatakommune[[#This Row],[Folk20-64-O]]</f>
        <v>0.78042288370698054</v>
      </c>
    </row>
    <row r="114" spans="1:20" x14ac:dyDescent="0.25">
      <c r="A114" s="41" t="s">
        <v>867</v>
      </c>
      <c r="B114" s="41">
        <v>113</v>
      </c>
      <c r="C114" s="42">
        <v>57279</v>
      </c>
      <c r="D114" s="42">
        <v>62019</v>
      </c>
      <c r="E114" s="43">
        <v>30212</v>
      </c>
      <c r="F114" s="42">
        <v>9808</v>
      </c>
      <c r="G114" s="44">
        <v>7275</v>
      </c>
      <c r="H114" s="45">
        <v>35937</v>
      </c>
      <c r="I114" s="43">
        <v>26340</v>
      </c>
      <c r="J114" s="43">
        <v>28132</v>
      </c>
      <c r="K114" s="7">
        <v>422.26</v>
      </c>
      <c r="L114" s="46">
        <v>417779.06522125466</v>
      </c>
      <c r="M114" s="39">
        <v>75.40625</v>
      </c>
      <c r="N114">
        <v>4</v>
      </c>
      <c r="O114" s="30">
        <f>Rådatakommune[[#This Row],[B17-O]]/Rådatakommune[[#This Row],[Totalareal2017-O]]</f>
        <v>146.87396390849241</v>
      </c>
      <c r="P114" s="32">
        <f>Rådatakommune[[#This Row],[B17-O]]/Rådatakommune[[#This Row],[B07-O]]-1</f>
        <v>8.2752841355470563E-2</v>
      </c>
      <c r="Q114" s="32">
        <f>Rådatakommune[[#This Row],[Kvinner20-39-O]]/Rådatakommune[[#This Row],[B17-O]]</f>
        <v>0.11730276205678905</v>
      </c>
      <c r="R114" s="32">
        <f>Rådatakommune[[#This Row],[Eldre67+-O]]/Rådatakommune[[#This Row],[B17-O]]</f>
        <v>0.15814508457085732</v>
      </c>
      <c r="S114" s="32">
        <f>Rådatakommune[[#This Row],[S16-O]]/Rådatakommune[[#This Row],[S06-O]]-1</f>
        <v>6.8033409263477562E-2</v>
      </c>
      <c r="T114" s="32">
        <f>Rådatakommune[[#This Row],[Y16-O]]/Rådatakommune[[#This Row],[Folk20-64-O]]</f>
        <v>0.84069343573475808</v>
      </c>
    </row>
    <row r="115" spans="1:20" x14ac:dyDescent="0.25">
      <c r="A115" s="2" t="s">
        <v>113</v>
      </c>
      <c r="B115" s="2">
        <v>114</v>
      </c>
      <c r="C115" s="35">
        <v>6466</v>
      </c>
      <c r="D115" s="34">
        <v>6653</v>
      </c>
      <c r="E115" s="31">
        <v>3179</v>
      </c>
      <c r="F115" s="36">
        <v>1110</v>
      </c>
      <c r="G115" s="37">
        <v>719</v>
      </c>
      <c r="H115">
        <v>3916</v>
      </c>
      <c r="I115" s="31">
        <v>1547</v>
      </c>
      <c r="J115" s="31">
        <v>1489</v>
      </c>
      <c r="K115" s="7">
        <v>57.72</v>
      </c>
      <c r="L115" s="38">
        <v>408800</v>
      </c>
      <c r="M115" s="39">
        <v>49.796875</v>
      </c>
      <c r="N115">
        <v>2</v>
      </c>
      <c r="O115" s="30">
        <f>Rådatakommune[[#This Row],[B17-O]]/Rådatakommune[[#This Row],[Totalareal2017-O]]</f>
        <v>115.26334026334027</v>
      </c>
      <c r="P115" s="32">
        <f>Rådatakommune[[#This Row],[B17-O]]/Rådatakommune[[#This Row],[B07-O]]-1</f>
        <v>2.8920507268790585E-2</v>
      </c>
      <c r="Q115" s="32">
        <f>Rådatakommune[[#This Row],[Kvinner20-39-O]]/Rådatakommune[[#This Row],[B17-O]]</f>
        <v>0.10807154667067488</v>
      </c>
      <c r="R115" s="32">
        <f>Rådatakommune[[#This Row],[Eldre67+-O]]/Rådatakommune[[#This Row],[B17-O]]</f>
        <v>0.1668420261536149</v>
      </c>
      <c r="S115" s="32">
        <f>Rådatakommune[[#This Row],[S16-O]]/Rådatakommune[[#This Row],[S06-O]]-1</f>
        <v>-3.7491919844860999E-2</v>
      </c>
      <c r="T115" s="32">
        <f>Rådatakommune[[#This Row],[Y16-O]]/Rådatakommune[[#This Row],[Folk20-64-O]]</f>
        <v>0.8117977528089888</v>
      </c>
    </row>
    <row r="116" spans="1:20" x14ac:dyDescent="0.25">
      <c r="A116" s="52" t="s">
        <v>874</v>
      </c>
      <c r="B116" s="52">
        <v>115</v>
      </c>
      <c r="C116" s="53">
        <v>43784</v>
      </c>
      <c r="D116" s="53">
        <v>46557</v>
      </c>
      <c r="E116" s="53">
        <v>21663</v>
      </c>
      <c r="F116" s="53">
        <v>8033</v>
      </c>
      <c r="G116" s="53">
        <v>5071</v>
      </c>
      <c r="H116" s="53">
        <v>26766</v>
      </c>
      <c r="I116" s="53">
        <v>18597</v>
      </c>
      <c r="J116" s="53">
        <v>18925</v>
      </c>
      <c r="K116" s="53">
        <v>812.87999999999988</v>
      </c>
      <c r="L116" s="46">
        <v>402532.3372465315</v>
      </c>
      <c r="M116" s="39">
        <v>83.0625</v>
      </c>
      <c r="N116" s="54">
        <v>4</v>
      </c>
      <c r="O116" s="30">
        <f>Rådatakommune[[#This Row],[B17-O]]/Rådatakommune[[#This Row],[Totalareal2017-O]]</f>
        <v>57.274136403897259</v>
      </c>
      <c r="P116" s="32">
        <f>Rådatakommune[[#This Row],[B17-O]]/Rådatakommune[[#This Row],[B07-O]]-1</f>
        <v>6.3333637858578484E-2</v>
      </c>
      <c r="Q116" s="32">
        <f>Rådatakommune[[#This Row],[Kvinner20-39-O]]/Rådatakommune[[#This Row],[B17-O]]</f>
        <v>0.10892024829778552</v>
      </c>
      <c r="R116" s="32">
        <f>Rådatakommune[[#This Row],[Eldre67+-O]]/Rådatakommune[[#This Row],[B17-O]]</f>
        <v>0.1725411860729858</v>
      </c>
      <c r="S116" s="32">
        <f>Rådatakommune[[#This Row],[S16-O]]/Rådatakommune[[#This Row],[S06-O]]-1</f>
        <v>1.7637253320428092E-2</v>
      </c>
      <c r="T116" s="32">
        <f>Rådatakommune[[#This Row],[Y16-O]]/Rådatakommune[[#This Row],[Folk20-64-O]]</f>
        <v>0.80934767989240086</v>
      </c>
    </row>
    <row r="117" spans="1:20" x14ac:dyDescent="0.25">
      <c r="A117" s="2" t="s">
        <v>114</v>
      </c>
      <c r="B117" s="2">
        <v>116</v>
      </c>
      <c r="C117" s="35">
        <v>7827</v>
      </c>
      <c r="D117" s="34">
        <v>9496</v>
      </c>
      <c r="E117" s="31">
        <v>4579</v>
      </c>
      <c r="F117" s="36">
        <v>1402</v>
      </c>
      <c r="G117" s="37">
        <v>1077</v>
      </c>
      <c r="H117">
        <v>5448</v>
      </c>
      <c r="I117" s="31">
        <v>2027</v>
      </c>
      <c r="J117" s="31">
        <v>2330</v>
      </c>
      <c r="K117" s="7">
        <v>178.34</v>
      </c>
      <c r="L117" s="38">
        <v>435100</v>
      </c>
      <c r="M117" s="39">
        <v>41.8046875</v>
      </c>
      <c r="N117">
        <v>2</v>
      </c>
      <c r="O117" s="30">
        <f>Rådatakommune[[#This Row],[B17-O]]/Rådatakommune[[#This Row],[Totalareal2017-O]]</f>
        <v>53.246607603454073</v>
      </c>
      <c r="P117" s="32">
        <f>Rådatakommune[[#This Row],[B17-O]]/Rådatakommune[[#This Row],[B07-O]]-1</f>
        <v>0.21323623355053023</v>
      </c>
      <c r="Q117" s="32">
        <f>Rådatakommune[[#This Row],[Kvinner20-39-O]]/Rådatakommune[[#This Row],[B17-O]]</f>
        <v>0.11341617523167649</v>
      </c>
      <c r="R117" s="32">
        <f>Rådatakommune[[#This Row],[Eldre67+-O]]/Rådatakommune[[#This Row],[B17-O]]</f>
        <v>0.14764111204717775</v>
      </c>
      <c r="S117" s="32">
        <f>Rådatakommune[[#This Row],[S16-O]]/Rådatakommune[[#This Row],[S06-O]]-1</f>
        <v>0.14948199309324117</v>
      </c>
      <c r="T117" s="32">
        <f>Rådatakommune[[#This Row],[Y16-O]]/Rådatakommune[[#This Row],[Folk20-64-O]]</f>
        <v>0.84049192364170333</v>
      </c>
    </row>
    <row r="118" spans="1:20" x14ac:dyDescent="0.25">
      <c r="A118" s="52" t="s">
        <v>875</v>
      </c>
      <c r="B118" s="52">
        <v>117</v>
      </c>
      <c r="C118" s="53">
        <v>12825</v>
      </c>
      <c r="D118" s="53">
        <v>14037</v>
      </c>
      <c r="E118" s="53">
        <v>6634</v>
      </c>
      <c r="F118" s="53">
        <v>2368</v>
      </c>
      <c r="G118" s="53">
        <v>1603</v>
      </c>
      <c r="H118" s="53">
        <v>8116</v>
      </c>
      <c r="I118" s="53">
        <v>4892</v>
      </c>
      <c r="J118" s="53">
        <v>4741</v>
      </c>
      <c r="K118" s="53">
        <v>249.18</v>
      </c>
      <c r="L118" s="46">
        <v>411792.06730769231</v>
      </c>
      <c r="M118" s="39">
        <v>53</v>
      </c>
      <c r="N118" s="54">
        <v>2</v>
      </c>
      <c r="O118" s="30">
        <f>Rådatakommune[[#This Row],[B17-O]]/Rådatakommune[[#This Row],[Totalareal2017-O]]</f>
        <v>56.332771490488803</v>
      </c>
      <c r="P118" s="32">
        <f>Rådatakommune[[#This Row],[B17-O]]/Rådatakommune[[#This Row],[B07-O]]-1</f>
        <v>9.45029239766082E-2</v>
      </c>
      <c r="Q118" s="32">
        <f>Rådatakommune[[#This Row],[Kvinner20-39-O]]/Rådatakommune[[#This Row],[B17-O]]</f>
        <v>0.11419819049654485</v>
      </c>
      <c r="R118" s="32">
        <f>Rådatakommune[[#This Row],[Eldre67+-O]]/Rådatakommune[[#This Row],[B17-O]]</f>
        <v>0.16869701503170192</v>
      </c>
      <c r="S118" s="32">
        <f>Rådatakommune[[#This Row],[S16-O]]/Rådatakommune[[#This Row],[S06-O]]-1</f>
        <v>-3.0866721177432499E-2</v>
      </c>
      <c r="T118" s="32">
        <f>Rådatakommune[[#This Row],[Y16-O]]/Rådatakommune[[#This Row],[Folk20-64-O]]</f>
        <v>0.81739773287333661</v>
      </c>
    </row>
    <row r="119" spans="1:20" x14ac:dyDescent="0.25">
      <c r="A119" s="2" t="s">
        <v>115</v>
      </c>
      <c r="B119" s="2">
        <v>118</v>
      </c>
      <c r="C119" s="35">
        <v>8321</v>
      </c>
      <c r="D119" s="34">
        <v>9486</v>
      </c>
      <c r="E119" s="31">
        <v>4801</v>
      </c>
      <c r="F119" s="36">
        <v>1249</v>
      </c>
      <c r="G119" s="37">
        <v>1143</v>
      </c>
      <c r="H119">
        <v>5575</v>
      </c>
      <c r="I119" s="31">
        <v>2847</v>
      </c>
      <c r="J119" s="31">
        <v>3232</v>
      </c>
      <c r="K119" s="7">
        <v>224.66</v>
      </c>
      <c r="L119" s="38">
        <v>416700</v>
      </c>
      <c r="M119" s="39">
        <v>59.8828125</v>
      </c>
      <c r="N119">
        <v>2</v>
      </c>
      <c r="O119" s="30">
        <f>Rådatakommune[[#This Row],[B17-O]]/Rådatakommune[[#This Row],[Totalareal2017-O]]</f>
        <v>42.223804860678356</v>
      </c>
      <c r="P119" s="32">
        <f>Rådatakommune[[#This Row],[B17-O]]/Rådatakommune[[#This Row],[B07-O]]-1</f>
        <v>0.14000721067179422</v>
      </c>
      <c r="Q119" s="32">
        <f>Rådatakommune[[#This Row],[Kvinner20-39-O]]/Rådatakommune[[#This Row],[B17-O]]</f>
        <v>0.1204933586337761</v>
      </c>
      <c r="R119" s="32">
        <f>Rådatakommune[[#This Row],[Eldre67+-O]]/Rådatakommune[[#This Row],[B17-O]]</f>
        <v>0.13166772085178158</v>
      </c>
      <c r="S119" s="32">
        <f>Rådatakommune[[#This Row],[S16-O]]/Rådatakommune[[#This Row],[S06-O]]-1</f>
        <v>0.13523006673691595</v>
      </c>
      <c r="T119" s="32">
        <f>Rådatakommune[[#This Row],[Y16-O]]/Rådatakommune[[#This Row],[Folk20-64-O]]</f>
        <v>0.86116591928251118</v>
      </c>
    </row>
    <row r="120" spans="1:20" x14ac:dyDescent="0.25">
      <c r="A120" s="52" t="s">
        <v>876</v>
      </c>
      <c r="B120" s="52">
        <v>119</v>
      </c>
      <c r="C120" s="53">
        <v>24798</v>
      </c>
      <c r="D120" s="53">
        <v>26676</v>
      </c>
      <c r="E120" s="53">
        <v>12425</v>
      </c>
      <c r="F120" s="53">
        <v>4657</v>
      </c>
      <c r="G120" s="53">
        <v>2817</v>
      </c>
      <c r="H120" s="53">
        <v>15072</v>
      </c>
      <c r="I120" s="53">
        <v>6879</v>
      </c>
      <c r="J120" s="53">
        <v>7481</v>
      </c>
      <c r="K120" s="53">
        <v>99.960000000000008</v>
      </c>
      <c r="L120" s="46">
        <v>453879.50508506352</v>
      </c>
      <c r="M120" s="39">
        <v>72</v>
      </c>
      <c r="N120" s="54">
        <v>2</v>
      </c>
      <c r="O120" s="30">
        <f>Rådatakommune[[#This Row],[B17-O]]/Rådatakommune[[#This Row],[Totalareal2017-O]]</f>
        <v>266.86674669867944</v>
      </c>
      <c r="P120" s="32">
        <f>Rådatakommune[[#This Row],[B17-O]]/Rådatakommune[[#This Row],[B07-O]]-1</f>
        <v>7.5731913864021339E-2</v>
      </c>
      <c r="Q120" s="32">
        <f>Rådatakommune[[#This Row],[Kvinner20-39-O]]/Rådatakommune[[#This Row],[B17-O]]</f>
        <v>0.10560053981106612</v>
      </c>
      <c r="R120" s="32">
        <f>Rådatakommune[[#This Row],[Eldre67+-O]]/Rådatakommune[[#This Row],[B17-O]]</f>
        <v>0.17457639826060878</v>
      </c>
      <c r="S120" s="32">
        <f>Rådatakommune[[#This Row],[S16-O]]/Rådatakommune[[#This Row],[S06-O]]-1</f>
        <v>8.7512719872074429E-2</v>
      </c>
      <c r="T120" s="32">
        <f>Rådatakommune[[#This Row],[Y16-O]]/Rådatakommune[[#This Row],[Folk20-64-O]]</f>
        <v>0.82437632696390661</v>
      </c>
    </row>
    <row r="121" spans="1:20" x14ac:dyDescent="0.25">
      <c r="A121" s="2" t="s">
        <v>116</v>
      </c>
      <c r="B121" s="2">
        <v>120</v>
      </c>
      <c r="C121" s="35">
        <v>33977</v>
      </c>
      <c r="D121" s="34">
        <v>36198</v>
      </c>
      <c r="E121" s="31">
        <v>16734</v>
      </c>
      <c r="F121" s="36">
        <v>5878</v>
      </c>
      <c r="G121" s="37">
        <v>4254</v>
      </c>
      <c r="H121">
        <v>21221</v>
      </c>
      <c r="I121" s="31">
        <v>17691</v>
      </c>
      <c r="J121" s="31">
        <v>17008</v>
      </c>
      <c r="K121" s="7">
        <v>164.45000000000002</v>
      </c>
      <c r="L121" s="38">
        <v>410400</v>
      </c>
      <c r="M121" s="39">
        <v>98.609375</v>
      </c>
      <c r="N121">
        <v>4</v>
      </c>
      <c r="O121" s="30">
        <f>Rådatakommune[[#This Row],[B17-O]]/Rådatakommune[[#This Row],[Totalareal2017-O]]</f>
        <v>220.11553663727574</v>
      </c>
      <c r="P121" s="32">
        <f>Rådatakommune[[#This Row],[B17-O]]/Rådatakommune[[#This Row],[B07-O]]-1</f>
        <v>6.5367748771227641E-2</v>
      </c>
      <c r="Q121" s="32">
        <f>Rådatakommune[[#This Row],[Kvinner20-39-O]]/Rådatakommune[[#This Row],[B17-O]]</f>
        <v>0.11752030498922593</v>
      </c>
      <c r="R121" s="32">
        <f>Rådatakommune[[#This Row],[Eldre67+-O]]/Rådatakommune[[#This Row],[B17-O]]</f>
        <v>0.16238466213602962</v>
      </c>
      <c r="S121" s="32">
        <f>Rådatakommune[[#This Row],[S16-O]]/Rådatakommune[[#This Row],[S06-O]]-1</f>
        <v>-3.8607201401842706E-2</v>
      </c>
      <c r="T121" s="32">
        <f>Rådatakommune[[#This Row],[Y16-O]]/Rådatakommune[[#This Row],[Folk20-64-O]]</f>
        <v>0.788558503369304</v>
      </c>
    </row>
    <row r="122" spans="1:20" x14ac:dyDescent="0.25">
      <c r="A122" s="2" t="s">
        <v>117</v>
      </c>
      <c r="B122" s="2">
        <v>121</v>
      </c>
      <c r="C122" s="35">
        <v>50696</v>
      </c>
      <c r="D122" s="34">
        <v>54316</v>
      </c>
      <c r="E122" s="31">
        <v>25181</v>
      </c>
      <c r="F122" s="36">
        <v>8807</v>
      </c>
      <c r="G122" s="37">
        <v>6474</v>
      </c>
      <c r="H122">
        <v>31685</v>
      </c>
      <c r="I122" s="31">
        <v>23921</v>
      </c>
      <c r="J122" s="31">
        <v>25134</v>
      </c>
      <c r="K122" s="7">
        <v>779.19999999999993</v>
      </c>
      <c r="L122" s="38">
        <v>398500</v>
      </c>
      <c r="M122" s="39">
        <v>99.71875</v>
      </c>
      <c r="N122">
        <v>4</v>
      </c>
      <c r="O122" s="30">
        <f>Rådatakommune[[#This Row],[B17-O]]/Rådatakommune[[#This Row],[Totalareal2017-O]]</f>
        <v>69.707392197125259</v>
      </c>
      <c r="P122" s="32">
        <f>Rådatakommune[[#This Row],[B17-O]]/Rådatakommune[[#This Row],[B07-O]]-1</f>
        <v>7.1406028089001206E-2</v>
      </c>
      <c r="Q122" s="32">
        <f>Rådatakommune[[#This Row],[Kvinner20-39-O]]/Rådatakommune[[#This Row],[B17-O]]</f>
        <v>0.11919139848295161</v>
      </c>
      <c r="R122" s="32">
        <f>Rådatakommune[[#This Row],[Eldre67+-O]]/Rådatakommune[[#This Row],[B17-O]]</f>
        <v>0.16214375138080861</v>
      </c>
      <c r="S122" s="32">
        <f>Rådatakommune[[#This Row],[S16-O]]/Rådatakommune[[#This Row],[S06-O]]-1</f>
        <v>5.0708582417122949E-2</v>
      </c>
      <c r="T122" s="32">
        <f>Rådatakommune[[#This Row],[Y16-O]]/Rådatakommune[[#This Row],[Folk20-64-O]]</f>
        <v>0.79472936720845822</v>
      </c>
    </row>
    <row r="123" spans="1:20" x14ac:dyDescent="0.25">
      <c r="A123" s="2" t="s">
        <v>118</v>
      </c>
      <c r="B123" s="2">
        <v>122</v>
      </c>
      <c r="C123" s="35">
        <v>12221</v>
      </c>
      <c r="D123" s="34">
        <v>12757</v>
      </c>
      <c r="E123" s="31">
        <v>5740</v>
      </c>
      <c r="F123" s="36">
        <v>2301</v>
      </c>
      <c r="G123" s="37">
        <v>1460</v>
      </c>
      <c r="H123">
        <v>7318</v>
      </c>
      <c r="I123" s="31">
        <v>5467</v>
      </c>
      <c r="J123" s="31">
        <v>5303</v>
      </c>
      <c r="K123" s="7">
        <v>918.66000000000008</v>
      </c>
      <c r="L123" s="38">
        <v>390800</v>
      </c>
      <c r="M123" s="39">
        <v>89.25</v>
      </c>
      <c r="N123">
        <v>5</v>
      </c>
      <c r="O123" s="30">
        <f>Rådatakommune[[#This Row],[B17-O]]/Rådatakommune[[#This Row],[Totalareal2017-O]]</f>
        <v>13.886530381207409</v>
      </c>
      <c r="P123" s="32">
        <f>Rådatakommune[[#This Row],[B17-O]]/Rådatakommune[[#This Row],[B07-O]]-1</f>
        <v>4.3858931347680263E-2</v>
      </c>
      <c r="Q123" s="32">
        <f>Rådatakommune[[#This Row],[Kvinner20-39-O]]/Rådatakommune[[#This Row],[B17-O]]</f>
        <v>0.11444697029082072</v>
      </c>
      <c r="R123" s="32">
        <f>Rådatakommune[[#This Row],[Eldre67+-O]]/Rådatakommune[[#This Row],[B17-O]]</f>
        <v>0.18037156071176608</v>
      </c>
      <c r="S123" s="32">
        <f>Rådatakommune[[#This Row],[S16-O]]/Rådatakommune[[#This Row],[S06-O]]-1</f>
        <v>-2.9998170843241301E-2</v>
      </c>
      <c r="T123" s="32">
        <f>Rådatakommune[[#This Row],[Y16-O]]/Rådatakommune[[#This Row],[Folk20-64-O]]</f>
        <v>0.78436731347362665</v>
      </c>
    </row>
    <row r="124" spans="1:20" x14ac:dyDescent="0.25">
      <c r="A124" s="2" t="s">
        <v>119</v>
      </c>
      <c r="B124" s="2">
        <v>123</v>
      </c>
      <c r="C124" s="35">
        <v>2362</v>
      </c>
      <c r="D124" s="34">
        <v>2357</v>
      </c>
      <c r="E124" s="31">
        <v>1184</v>
      </c>
      <c r="F124" s="36">
        <v>398</v>
      </c>
      <c r="G124" s="37">
        <v>278</v>
      </c>
      <c r="H124">
        <v>1357</v>
      </c>
      <c r="I124" s="31">
        <v>505</v>
      </c>
      <c r="J124" s="31">
        <v>496</v>
      </c>
      <c r="K124" s="7">
        <v>213.95999999999998</v>
      </c>
      <c r="L124" s="38">
        <v>393000</v>
      </c>
      <c r="M124" s="39">
        <v>86.5625</v>
      </c>
      <c r="N124">
        <v>4</v>
      </c>
      <c r="O124" s="30">
        <f>Rådatakommune[[#This Row],[B17-O]]/Rådatakommune[[#This Row],[Totalareal2017-O]]</f>
        <v>11.016077771546085</v>
      </c>
      <c r="P124" s="32">
        <f>Rådatakommune[[#This Row],[B17-O]]/Rådatakommune[[#This Row],[B07-O]]-1</f>
        <v>-2.1168501270110163E-3</v>
      </c>
      <c r="Q124" s="32">
        <f>Rådatakommune[[#This Row],[Kvinner20-39-O]]/Rådatakommune[[#This Row],[B17-O]]</f>
        <v>0.11794654221467968</v>
      </c>
      <c r="R124" s="32">
        <f>Rådatakommune[[#This Row],[Eldre67+-O]]/Rådatakommune[[#This Row],[B17-O]]</f>
        <v>0.16885871871022487</v>
      </c>
      <c r="S124" s="32">
        <f>Rådatakommune[[#This Row],[S16-O]]/Rådatakommune[[#This Row],[S06-O]]-1</f>
        <v>-1.7821782178217838E-2</v>
      </c>
      <c r="T124" s="32">
        <f>Rådatakommune[[#This Row],[Y16-O]]/Rådatakommune[[#This Row],[Folk20-64-O]]</f>
        <v>0.8725128960943257</v>
      </c>
    </row>
    <row r="125" spans="1:20" x14ac:dyDescent="0.25">
      <c r="A125" s="2" t="s">
        <v>120</v>
      </c>
      <c r="B125" s="2">
        <v>124</v>
      </c>
      <c r="C125" s="35">
        <v>14061</v>
      </c>
      <c r="D125" s="34">
        <v>14138</v>
      </c>
      <c r="E125" s="31">
        <v>6524</v>
      </c>
      <c r="F125" s="36">
        <v>2429</v>
      </c>
      <c r="G125" s="37">
        <v>1515</v>
      </c>
      <c r="H125">
        <v>8055</v>
      </c>
      <c r="I125" s="31">
        <v>5442</v>
      </c>
      <c r="J125" s="31">
        <v>4850</v>
      </c>
      <c r="K125" s="7">
        <v>304.37</v>
      </c>
      <c r="L125" s="38">
        <v>413800</v>
      </c>
      <c r="M125" s="39">
        <v>109.78125</v>
      </c>
      <c r="N125">
        <v>4</v>
      </c>
      <c r="O125" s="30">
        <f>Rådatakommune[[#This Row],[B17-O]]/Rådatakommune[[#This Row],[Totalareal2017-O]]</f>
        <v>46.450044353911359</v>
      </c>
      <c r="P125" s="32">
        <f>Rådatakommune[[#This Row],[B17-O]]/Rådatakommune[[#This Row],[B07-O]]-1</f>
        <v>5.4761396771210169E-3</v>
      </c>
      <c r="Q125" s="32">
        <f>Rådatakommune[[#This Row],[Kvinner20-39-O]]/Rådatakommune[[#This Row],[B17-O]]</f>
        <v>0.107158013863347</v>
      </c>
      <c r="R125" s="32">
        <f>Rådatakommune[[#This Row],[Eldre67+-O]]/Rådatakommune[[#This Row],[B17-O]]</f>
        <v>0.17180647899278539</v>
      </c>
      <c r="S125" s="32">
        <f>Rådatakommune[[#This Row],[S16-O]]/Rådatakommune[[#This Row],[S06-O]]-1</f>
        <v>-0.1087835354649026</v>
      </c>
      <c r="T125" s="32">
        <f>Rådatakommune[[#This Row],[Y16-O]]/Rådatakommune[[#This Row],[Folk20-64-O]]</f>
        <v>0.80993171942892617</v>
      </c>
    </row>
    <row r="126" spans="1:20" x14ac:dyDescent="0.25">
      <c r="A126" s="2" t="s">
        <v>121</v>
      </c>
      <c r="B126" s="2">
        <v>125</v>
      </c>
      <c r="C126" s="35">
        <v>10481</v>
      </c>
      <c r="D126" s="34">
        <v>10586</v>
      </c>
      <c r="E126" s="31">
        <v>4614</v>
      </c>
      <c r="F126" s="36">
        <v>2129</v>
      </c>
      <c r="G126" s="37">
        <v>1063</v>
      </c>
      <c r="H126">
        <v>5928</v>
      </c>
      <c r="I126" s="31">
        <v>4436</v>
      </c>
      <c r="J126" s="31">
        <v>4047</v>
      </c>
      <c r="K126" s="7">
        <v>305.45999999999998</v>
      </c>
      <c r="L126" s="38">
        <v>376400</v>
      </c>
      <c r="M126" s="39">
        <v>132.96875</v>
      </c>
      <c r="N126">
        <v>4</v>
      </c>
      <c r="O126" s="30">
        <f>Rådatakommune[[#This Row],[B17-O]]/Rådatakommune[[#This Row],[Totalareal2017-O]]</f>
        <v>34.655928763176853</v>
      </c>
      <c r="P126" s="32">
        <f>Rådatakommune[[#This Row],[B17-O]]/Rådatakommune[[#This Row],[B07-O]]-1</f>
        <v>1.0018128041217489E-2</v>
      </c>
      <c r="Q126" s="32">
        <f>Rådatakommune[[#This Row],[Kvinner20-39-O]]/Rådatakommune[[#This Row],[B17-O]]</f>
        <v>0.10041564330247496</v>
      </c>
      <c r="R126" s="32">
        <f>Rådatakommune[[#This Row],[Eldre67+-O]]/Rådatakommune[[#This Row],[B17-O]]</f>
        <v>0.20111467976572833</v>
      </c>
      <c r="S126" s="32">
        <f>Rådatakommune[[#This Row],[S16-O]]/Rådatakommune[[#This Row],[S06-O]]-1</f>
        <v>-8.7691614066726764E-2</v>
      </c>
      <c r="T126" s="32">
        <f>Rådatakommune[[#This Row],[Y16-O]]/Rådatakommune[[#This Row],[Folk20-64-O]]</f>
        <v>0.77834008097165996</v>
      </c>
    </row>
    <row r="127" spans="1:20" x14ac:dyDescent="0.25">
      <c r="A127" s="2" t="s">
        <v>122</v>
      </c>
      <c r="B127" s="2">
        <v>126</v>
      </c>
      <c r="C127" s="35">
        <v>4136</v>
      </c>
      <c r="D127" s="34">
        <v>4148</v>
      </c>
      <c r="E127" s="31">
        <v>1902</v>
      </c>
      <c r="F127" s="36">
        <v>791</v>
      </c>
      <c r="G127" s="37">
        <v>411</v>
      </c>
      <c r="H127">
        <v>2305</v>
      </c>
      <c r="I127" s="31">
        <v>1170</v>
      </c>
      <c r="J127" s="31">
        <v>1205</v>
      </c>
      <c r="K127" s="7">
        <v>1062.78</v>
      </c>
      <c r="L127" s="38">
        <v>362000</v>
      </c>
      <c r="M127" s="39">
        <v>141.5625</v>
      </c>
      <c r="N127">
        <v>4</v>
      </c>
      <c r="O127" s="30">
        <f>Rådatakommune[[#This Row],[B17-O]]/Rådatakommune[[#This Row],[Totalareal2017-O]]</f>
        <v>3.9029714522290599</v>
      </c>
      <c r="P127" s="32">
        <f>Rådatakommune[[#This Row],[B17-O]]/Rådatakommune[[#This Row],[B07-O]]-1</f>
        <v>2.9013539651836506E-3</v>
      </c>
      <c r="Q127" s="32">
        <f>Rådatakommune[[#This Row],[Kvinner20-39-O]]/Rådatakommune[[#This Row],[B17-O]]</f>
        <v>9.9083895853423337E-2</v>
      </c>
      <c r="R127" s="32">
        <f>Rådatakommune[[#This Row],[Eldre67+-O]]/Rådatakommune[[#This Row],[B17-O]]</f>
        <v>0.19069431051108968</v>
      </c>
      <c r="S127" s="32">
        <f>Rådatakommune[[#This Row],[S16-O]]/Rådatakommune[[#This Row],[S06-O]]-1</f>
        <v>2.9914529914529808E-2</v>
      </c>
      <c r="T127" s="32">
        <f>Rådatakommune[[#This Row],[Y16-O]]/Rådatakommune[[#This Row],[Folk20-64-O]]</f>
        <v>0.82516268980477225</v>
      </c>
    </row>
    <row r="128" spans="1:20" x14ac:dyDescent="0.25">
      <c r="A128" s="2" t="s">
        <v>123</v>
      </c>
      <c r="B128" s="2">
        <v>127</v>
      </c>
      <c r="C128" s="35">
        <v>6576</v>
      </c>
      <c r="D128" s="34">
        <v>6585</v>
      </c>
      <c r="E128" s="31">
        <v>3000</v>
      </c>
      <c r="F128" s="36">
        <v>1253</v>
      </c>
      <c r="G128" s="37">
        <v>675</v>
      </c>
      <c r="H128">
        <v>3705</v>
      </c>
      <c r="I128" s="31">
        <v>2314</v>
      </c>
      <c r="J128" s="31">
        <v>2241</v>
      </c>
      <c r="K128" s="7">
        <v>429.69</v>
      </c>
      <c r="L128" s="38">
        <v>375900</v>
      </c>
      <c r="M128" s="39">
        <v>125.921875</v>
      </c>
      <c r="N128">
        <v>4</v>
      </c>
      <c r="O128" s="30">
        <f>Rådatakommune[[#This Row],[B17-O]]/Rådatakommune[[#This Row],[Totalareal2017-O]]</f>
        <v>15.325001745444391</v>
      </c>
      <c r="P128" s="32">
        <f>Rådatakommune[[#This Row],[B17-O]]/Rådatakommune[[#This Row],[B07-O]]-1</f>
        <v>1.3686131386860811E-3</v>
      </c>
      <c r="Q128" s="32">
        <f>Rådatakommune[[#This Row],[Kvinner20-39-O]]/Rådatakommune[[#This Row],[B17-O]]</f>
        <v>0.10250569476082004</v>
      </c>
      <c r="R128" s="32">
        <f>Rådatakommune[[#This Row],[Eldre67+-O]]/Rådatakommune[[#This Row],[B17-O]]</f>
        <v>0.19028094153378891</v>
      </c>
      <c r="S128" s="32">
        <f>Rådatakommune[[#This Row],[S16-O]]/Rådatakommune[[#This Row],[S06-O]]-1</f>
        <v>-3.1547104580812446E-2</v>
      </c>
      <c r="T128" s="32">
        <f>Rådatakommune[[#This Row],[Y16-O]]/Rådatakommune[[#This Row],[Folk20-64-O]]</f>
        <v>0.80971659919028338</v>
      </c>
    </row>
    <row r="129" spans="1:20" x14ac:dyDescent="0.25">
      <c r="A129" s="2" t="s">
        <v>124</v>
      </c>
      <c r="B129" s="2">
        <v>128</v>
      </c>
      <c r="C129" s="35">
        <v>5333</v>
      </c>
      <c r="D129" s="34">
        <v>6262</v>
      </c>
      <c r="E129" s="31">
        <v>2886</v>
      </c>
      <c r="F129" s="36">
        <v>963</v>
      </c>
      <c r="G129" s="37">
        <v>874</v>
      </c>
      <c r="H129">
        <v>3687</v>
      </c>
      <c r="I129" s="31">
        <v>2563</v>
      </c>
      <c r="J129" s="31">
        <v>2785</v>
      </c>
      <c r="K129" s="7">
        <v>263.20999999999998</v>
      </c>
      <c r="L129" s="38">
        <v>378400</v>
      </c>
      <c r="M129" s="39">
        <v>115</v>
      </c>
      <c r="N129">
        <v>5</v>
      </c>
      <c r="O129" s="30">
        <f>Rådatakommune[[#This Row],[B17-O]]/Rådatakommune[[#This Row],[Totalareal2017-O]]</f>
        <v>23.790889403898031</v>
      </c>
      <c r="P129" s="32">
        <f>Rådatakommune[[#This Row],[B17-O]]/Rådatakommune[[#This Row],[B07-O]]-1</f>
        <v>0.17419838739921234</v>
      </c>
      <c r="Q129" s="32">
        <f>Rådatakommune[[#This Row],[Kvinner20-39-O]]/Rådatakommune[[#This Row],[B17-O]]</f>
        <v>0.13957202171830085</v>
      </c>
      <c r="R129" s="32">
        <f>Rådatakommune[[#This Row],[Eldre67+-O]]/Rådatakommune[[#This Row],[B17-O]]</f>
        <v>0.15378473331204087</v>
      </c>
      <c r="S129" s="32">
        <f>Rådatakommune[[#This Row],[S16-O]]/Rådatakommune[[#This Row],[S06-O]]-1</f>
        <v>8.6617245415528732E-2</v>
      </c>
      <c r="T129" s="32">
        <f>Rådatakommune[[#This Row],[Y16-O]]/Rådatakommune[[#This Row],[Folk20-64-O]]</f>
        <v>0.78275020341741253</v>
      </c>
    </row>
    <row r="130" spans="1:20" x14ac:dyDescent="0.25">
      <c r="A130" s="2" t="s">
        <v>125</v>
      </c>
      <c r="B130" s="2">
        <v>129</v>
      </c>
      <c r="C130" s="35">
        <v>4277</v>
      </c>
      <c r="D130" s="34">
        <v>4303</v>
      </c>
      <c r="E130" s="31">
        <v>2012</v>
      </c>
      <c r="F130" s="36">
        <v>766</v>
      </c>
      <c r="G130" s="37">
        <v>447</v>
      </c>
      <c r="H130">
        <v>2456</v>
      </c>
      <c r="I130" s="31">
        <v>1470</v>
      </c>
      <c r="J130" s="31">
        <v>1314</v>
      </c>
      <c r="K130" s="7">
        <v>320.54000000000002</v>
      </c>
      <c r="L130" s="38">
        <v>376100</v>
      </c>
      <c r="M130" s="39">
        <v>111.796875</v>
      </c>
      <c r="N130">
        <v>5</v>
      </c>
      <c r="O130" s="30">
        <f>Rådatakommune[[#This Row],[B17-O]]/Rådatakommune[[#This Row],[Totalareal2017-O]]</f>
        <v>13.424221626006114</v>
      </c>
      <c r="P130" s="32">
        <f>Rådatakommune[[#This Row],[B17-O]]/Rådatakommune[[#This Row],[B07-O]]-1</f>
        <v>6.0790273556230456E-3</v>
      </c>
      <c r="Q130" s="32">
        <f>Rådatakommune[[#This Row],[Kvinner20-39-O]]/Rådatakommune[[#This Row],[B17-O]]</f>
        <v>0.10388101324657216</v>
      </c>
      <c r="R130" s="32">
        <f>Rådatakommune[[#This Row],[Eldre67+-O]]/Rådatakommune[[#This Row],[B17-O]]</f>
        <v>0.17801533813618406</v>
      </c>
      <c r="S130" s="32">
        <f>Rådatakommune[[#This Row],[S16-O]]/Rådatakommune[[#This Row],[S06-O]]-1</f>
        <v>-0.10612244897959189</v>
      </c>
      <c r="T130" s="32">
        <f>Rådatakommune[[#This Row],[Y16-O]]/Rådatakommune[[#This Row],[Folk20-64-O]]</f>
        <v>0.81921824104234531</v>
      </c>
    </row>
    <row r="131" spans="1:20" x14ac:dyDescent="0.25">
      <c r="A131" s="2" t="s">
        <v>126</v>
      </c>
      <c r="B131" s="2">
        <v>130</v>
      </c>
      <c r="C131" s="35">
        <v>6120</v>
      </c>
      <c r="D131" s="34">
        <v>5894</v>
      </c>
      <c r="E131" s="31">
        <v>2854</v>
      </c>
      <c r="F131" s="36">
        <v>1153</v>
      </c>
      <c r="G131" s="37">
        <v>552</v>
      </c>
      <c r="H131">
        <v>3270</v>
      </c>
      <c r="I131" s="31">
        <v>2946</v>
      </c>
      <c r="J131" s="31">
        <v>2696</v>
      </c>
      <c r="K131" s="7">
        <v>2045.1399999999999</v>
      </c>
      <c r="L131" s="38">
        <v>386100</v>
      </c>
      <c r="M131" s="39">
        <v>136.78125</v>
      </c>
      <c r="N131">
        <v>9</v>
      </c>
      <c r="O131" s="30">
        <f>Rådatakommune[[#This Row],[B17-O]]/Rådatakommune[[#This Row],[Totalareal2017-O]]</f>
        <v>2.8819542916377365</v>
      </c>
      <c r="P131" s="32">
        <f>Rådatakommune[[#This Row],[B17-O]]/Rådatakommune[[#This Row],[B07-O]]-1</f>
        <v>-3.6928104575163379E-2</v>
      </c>
      <c r="Q131" s="32">
        <f>Rådatakommune[[#This Row],[Kvinner20-39-O]]/Rådatakommune[[#This Row],[B17-O]]</f>
        <v>9.3654563963352561E-2</v>
      </c>
      <c r="R131" s="32">
        <f>Rådatakommune[[#This Row],[Eldre67+-O]]/Rådatakommune[[#This Row],[B17-O]]</f>
        <v>0.19562266711910417</v>
      </c>
      <c r="S131" s="32">
        <f>Rådatakommune[[#This Row],[S16-O]]/Rådatakommune[[#This Row],[S06-O]]-1</f>
        <v>-8.4860828241683617E-2</v>
      </c>
      <c r="T131" s="32">
        <f>Rådatakommune[[#This Row],[Y16-O]]/Rådatakommune[[#This Row],[Folk20-64-O]]</f>
        <v>0.87278287461773696</v>
      </c>
    </row>
    <row r="132" spans="1:20" x14ac:dyDescent="0.25">
      <c r="A132" s="2" t="s">
        <v>127</v>
      </c>
      <c r="B132" s="2">
        <v>131</v>
      </c>
      <c r="C132" s="35">
        <v>1619</v>
      </c>
      <c r="D132" s="34">
        <v>1593</v>
      </c>
      <c r="E132" s="31">
        <v>755</v>
      </c>
      <c r="F132" s="36">
        <v>333</v>
      </c>
      <c r="G132" s="37">
        <v>148</v>
      </c>
      <c r="H132">
        <v>850</v>
      </c>
      <c r="I132" s="31">
        <v>590</v>
      </c>
      <c r="J132" s="31">
        <v>694</v>
      </c>
      <c r="K132" s="7">
        <v>791.6</v>
      </c>
      <c r="L132" s="38">
        <v>389000</v>
      </c>
      <c r="M132" s="39">
        <v>108.59375</v>
      </c>
      <c r="N132">
        <v>5</v>
      </c>
      <c r="O132" s="30">
        <f>Rådatakommune[[#This Row],[B17-O]]/Rådatakommune[[#This Row],[Totalareal2017-O]]</f>
        <v>2.0123799898938857</v>
      </c>
      <c r="P132" s="32">
        <f>Rådatakommune[[#This Row],[B17-O]]/Rådatakommune[[#This Row],[B07-O]]-1</f>
        <v>-1.6059295861643008E-2</v>
      </c>
      <c r="Q132" s="32">
        <f>Rådatakommune[[#This Row],[Kvinner20-39-O]]/Rådatakommune[[#This Row],[B17-O]]</f>
        <v>9.2906465787821718E-2</v>
      </c>
      <c r="R132" s="32">
        <f>Rådatakommune[[#This Row],[Eldre67+-O]]/Rådatakommune[[#This Row],[B17-O]]</f>
        <v>0.20903954802259886</v>
      </c>
      <c r="S132" s="32">
        <f>Rådatakommune[[#This Row],[S16-O]]/Rådatakommune[[#This Row],[S06-O]]-1</f>
        <v>0.17627118644067807</v>
      </c>
      <c r="T132" s="32">
        <f>Rådatakommune[[#This Row],[Y16-O]]/Rådatakommune[[#This Row],[Folk20-64-O]]</f>
        <v>0.88823529411764701</v>
      </c>
    </row>
    <row r="133" spans="1:20" x14ac:dyDescent="0.25">
      <c r="A133" s="2" t="s">
        <v>128</v>
      </c>
      <c r="B133" s="2">
        <v>132</v>
      </c>
      <c r="C133" s="35">
        <v>2933</v>
      </c>
      <c r="D133" s="34">
        <v>2979</v>
      </c>
      <c r="E133" s="31">
        <v>1452</v>
      </c>
      <c r="F133" s="36">
        <v>575</v>
      </c>
      <c r="G133" s="37">
        <v>292</v>
      </c>
      <c r="H133">
        <v>1627</v>
      </c>
      <c r="I133" s="31">
        <v>1589</v>
      </c>
      <c r="J133" s="31">
        <v>1503</v>
      </c>
      <c r="K133" s="7">
        <v>715.09</v>
      </c>
      <c r="L133" s="38">
        <v>401000</v>
      </c>
      <c r="M133" s="39">
        <v>135.625</v>
      </c>
      <c r="N133">
        <v>10</v>
      </c>
      <c r="O133" s="30">
        <f>Rådatakommune[[#This Row],[B17-O]]/Rådatakommune[[#This Row],[Totalareal2017-O]]</f>
        <v>4.1659091862562754</v>
      </c>
      <c r="P133" s="32">
        <f>Rådatakommune[[#This Row],[B17-O]]/Rådatakommune[[#This Row],[B07-O]]-1</f>
        <v>1.568360040913741E-2</v>
      </c>
      <c r="Q133" s="32">
        <f>Rådatakommune[[#This Row],[Kvinner20-39-O]]/Rådatakommune[[#This Row],[B17-O]]</f>
        <v>9.8019469620678076E-2</v>
      </c>
      <c r="R133" s="32">
        <f>Rådatakommune[[#This Row],[Eldre67+-O]]/Rådatakommune[[#This Row],[B17-O]]</f>
        <v>0.19301779120510237</v>
      </c>
      <c r="S133" s="32">
        <f>Rådatakommune[[#This Row],[S16-O]]/Rådatakommune[[#This Row],[S06-O]]-1</f>
        <v>-5.4122089364380122E-2</v>
      </c>
      <c r="T133" s="32">
        <f>Rådatakommune[[#This Row],[Y16-O]]/Rådatakommune[[#This Row],[Folk20-64-O]]</f>
        <v>0.89244007375537804</v>
      </c>
    </row>
    <row r="134" spans="1:20" x14ac:dyDescent="0.25">
      <c r="A134" s="2" t="s">
        <v>129</v>
      </c>
      <c r="B134" s="2">
        <v>133</v>
      </c>
      <c r="C134" s="35">
        <v>2542</v>
      </c>
      <c r="D134" s="34">
        <v>2442</v>
      </c>
      <c r="E134" s="31">
        <v>1239</v>
      </c>
      <c r="F134" s="36">
        <v>479</v>
      </c>
      <c r="G134" s="37">
        <v>212</v>
      </c>
      <c r="H134">
        <v>1401</v>
      </c>
      <c r="I134" s="31">
        <v>1113</v>
      </c>
      <c r="J134" s="31">
        <v>1051</v>
      </c>
      <c r="K134" s="7">
        <v>708.46</v>
      </c>
      <c r="L134" s="38">
        <v>381000</v>
      </c>
      <c r="M134" s="39">
        <v>148.75</v>
      </c>
      <c r="N134">
        <v>10</v>
      </c>
      <c r="O134" s="30">
        <f>Rådatakommune[[#This Row],[B17-O]]/Rådatakommune[[#This Row],[Totalareal2017-O]]</f>
        <v>3.4469130226124269</v>
      </c>
      <c r="P134" s="32">
        <f>Rådatakommune[[#This Row],[B17-O]]/Rådatakommune[[#This Row],[B07-O]]-1</f>
        <v>-3.933910306845001E-2</v>
      </c>
      <c r="Q134" s="32">
        <f>Rådatakommune[[#This Row],[Kvinner20-39-O]]/Rådatakommune[[#This Row],[B17-O]]</f>
        <v>8.681408681408681E-2</v>
      </c>
      <c r="R134" s="32">
        <f>Rådatakommune[[#This Row],[Eldre67+-O]]/Rådatakommune[[#This Row],[B17-O]]</f>
        <v>0.19615069615069616</v>
      </c>
      <c r="S134" s="32">
        <f>Rådatakommune[[#This Row],[S16-O]]/Rådatakommune[[#This Row],[S06-O]]-1</f>
        <v>-5.5705300988319828E-2</v>
      </c>
      <c r="T134" s="32">
        <f>Rådatakommune[[#This Row],[Y16-O]]/Rådatakommune[[#This Row],[Folk20-64-O]]</f>
        <v>0.88436830835117775</v>
      </c>
    </row>
    <row r="135" spans="1:20" x14ac:dyDescent="0.25">
      <c r="A135" s="2" t="s">
        <v>130</v>
      </c>
      <c r="B135" s="2">
        <v>134</v>
      </c>
      <c r="C135" s="35">
        <v>1375</v>
      </c>
      <c r="D135" s="34">
        <v>1476</v>
      </c>
      <c r="E135" s="31">
        <v>732</v>
      </c>
      <c r="F135" s="36">
        <v>261</v>
      </c>
      <c r="G135" s="37">
        <v>148</v>
      </c>
      <c r="H135">
        <v>840</v>
      </c>
      <c r="I135" s="31">
        <v>580</v>
      </c>
      <c r="J135" s="31">
        <v>650</v>
      </c>
      <c r="K135" s="7">
        <v>905.18</v>
      </c>
      <c r="L135" s="38">
        <v>382900</v>
      </c>
      <c r="M135" s="39">
        <v>173.5</v>
      </c>
      <c r="N135">
        <v>11</v>
      </c>
      <c r="O135" s="30">
        <f>Rådatakommune[[#This Row],[B17-O]]/Rådatakommune[[#This Row],[Totalareal2017-O]]</f>
        <v>1.6306149053226984</v>
      </c>
      <c r="P135" s="32">
        <f>Rådatakommune[[#This Row],[B17-O]]/Rådatakommune[[#This Row],[B07-O]]-1</f>
        <v>7.3454545454545439E-2</v>
      </c>
      <c r="Q135" s="32">
        <f>Rådatakommune[[#This Row],[Kvinner20-39-O]]/Rådatakommune[[#This Row],[B17-O]]</f>
        <v>0.1002710027100271</v>
      </c>
      <c r="R135" s="32">
        <f>Rådatakommune[[#This Row],[Eldre67+-O]]/Rådatakommune[[#This Row],[B17-O]]</f>
        <v>0.17682926829268292</v>
      </c>
      <c r="S135" s="32">
        <f>Rådatakommune[[#This Row],[S16-O]]/Rådatakommune[[#This Row],[S06-O]]-1</f>
        <v>0.1206896551724137</v>
      </c>
      <c r="T135" s="32">
        <f>Rådatakommune[[#This Row],[Y16-O]]/Rådatakommune[[#This Row],[Folk20-64-O]]</f>
        <v>0.87142857142857144</v>
      </c>
    </row>
    <row r="136" spans="1:20" x14ac:dyDescent="0.25">
      <c r="A136" s="2" t="s">
        <v>131</v>
      </c>
      <c r="B136" s="2">
        <v>135</v>
      </c>
      <c r="C136" s="35">
        <v>1363</v>
      </c>
      <c r="D136" s="34">
        <v>1319</v>
      </c>
      <c r="E136" s="31">
        <v>632</v>
      </c>
      <c r="F136" s="36">
        <v>238</v>
      </c>
      <c r="G136" s="37">
        <v>134</v>
      </c>
      <c r="H136">
        <v>738</v>
      </c>
      <c r="I136" s="31">
        <v>577</v>
      </c>
      <c r="J136" s="31">
        <v>500</v>
      </c>
      <c r="K136" s="7">
        <v>1280.1399999999999</v>
      </c>
      <c r="L136" s="38">
        <v>367800</v>
      </c>
      <c r="M136" s="39">
        <v>194.375</v>
      </c>
      <c r="N136">
        <v>11</v>
      </c>
      <c r="O136" s="30">
        <f>Rådatakommune[[#This Row],[B17-O]]/Rådatakommune[[#This Row],[Totalareal2017-O]]</f>
        <v>1.0303560548065056</v>
      </c>
      <c r="P136" s="32">
        <f>Rådatakommune[[#This Row],[B17-O]]/Rådatakommune[[#This Row],[B07-O]]-1</f>
        <v>-3.2281731474688158E-2</v>
      </c>
      <c r="Q136" s="32">
        <f>Rådatakommune[[#This Row],[Kvinner20-39-O]]/Rådatakommune[[#This Row],[B17-O]]</f>
        <v>0.10159211523881728</v>
      </c>
      <c r="R136" s="32">
        <f>Rådatakommune[[#This Row],[Eldre67+-O]]/Rådatakommune[[#This Row],[B17-O]]</f>
        <v>0.18043972706595907</v>
      </c>
      <c r="S136" s="32">
        <f>Rådatakommune[[#This Row],[S16-O]]/Rådatakommune[[#This Row],[S06-O]]-1</f>
        <v>-0.13344887348353551</v>
      </c>
      <c r="T136" s="32">
        <f>Rådatakommune[[#This Row],[Y16-O]]/Rådatakommune[[#This Row],[Folk20-64-O]]</f>
        <v>0.85636856368563685</v>
      </c>
    </row>
    <row r="137" spans="1:20" x14ac:dyDescent="0.25">
      <c r="A137" s="2" t="s">
        <v>132</v>
      </c>
      <c r="B137" s="2">
        <v>136</v>
      </c>
      <c r="C137" s="35">
        <v>2414</v>
      </c>
      <c r="D137" s="34">
        <v>2228</v>
      </c>
      <c r="E137" s="31">
        <v>1128</v>
      </c>
      <c r="F137" s="36">
        <v>418</v>
      </c>
      <c r="G137" s="37">
        <v>199</v>
      </c>
      <c r="H137">
        <v>1238</v>
      </c>
      <c r="I137" s="31">
        <v>1073</v>
      </c>
      <c r="J137" s="31">
        <v>936</v>
      </c>
      <c r="K137" s="7">
        <v>984.48</v>
      </c>
      <c r="L137" s="38">
        <v>398100</v>
      </c>
      <c r="M137" s="39">
        <v>175.8125</v>
      </c>
      <c r="N137">
        <v>10</v>
      </c>
      <c r="O137" s="30">
        <f>Rådatakommune[[#This Row],[B17-O]]/Rådatakommune[[#This Row],[Totalareal2017-O]]</f>
        <v>2.2631236795059322</v>
      </c>
      <c r="P137" s="32">
        <f>Rådatakommune[[#This Row],[B17-O]]/Rådatakommune[[#This Row],[B07-O]]-1</f>
        <v>-7.7050538525269219E-2</v>
      </c>
      <c r="Q137" s="32">
        <f>Rådatakommune[[#This Row],[Kvinner20-39-O]]/Rådatakommune[[#This Row],[B17-O]]</f>
        <v>8.9317773788150812E-2</v>
      </c>
      <c r="R137" s="32">
        <f>Rådatakommune[[#This Row],[Eldre67+-O]]/Rådatakommune[[#This Row],[B17-O]]</f>
        <v>0.18761220825852784</v>
      </c>
      <c r="S137" s="32">
        <f>Rådatakommune[[#This Row],[S16-O]]/Rådatakommune[[#This Row],[S06-O]]-1</f>
        <v>-0.12767940354147256</v>
      </c>
      <c r="T137" s="32">
        <f>Rådatakommune[[#This Row],[Y16-O]]/Rådatakommune[[#This Row],[Folk20-64-O]]</f>
        <v>0.91114701130856224</v>
      </c>
    </row>
    <row r="138" spans="1:20" x14ac:dyDescent="0.25">
      <c r="A138" s="2" t="s">
        <v>133</v>
      </c>
      <c r="B138" s="2">
        <v>137</v>
      </c>
      <c r="C138" s="35">
        <v>3684</v>
      </c>
      <c r="D138" s="34">
        <v>3726</v>
      </c>
      <c r="E138" s="31">
        <v>1997</v>
      </c>
      <c r="F138" s="36">
        <v>675</v>
      </c>
      <c r="G138" s="37">
        <v>416</v>
      </c>
      <c r="H138">
        <v>2127</v>
      </c>
      <c r="I138" s="31">
        <v>1721</v>
      </c>
      <c r="J138" s="31">
        <v>1842</v>
      </c>
      <c r="K138" s="7">
        <v>3105.84</v>
      </c>
      <c r="L138" s="38">
        <v>410900</v>
      </c>
      <c r="M138" s="39">
        <v>168.65625</v>
      </c>
      <c r="N138">
        <v>10</v>
      </c>
      <c r="O138" s="30">
        <f>Rådatakommune[[#This Row],[B17-O]]/Rådatakommune[[#This Row],[Totalareal2017-O]]</f>
        <v>1.1996754501197744</v>
      </c>
      <c r="P138" s="32">
        <f>Rådatakommune[[#This Row],[B17-O]]/Rådatakommune[[#This Row],[B07-O]]-1</f>
        <v>1.1400651465798051E-2</v>
      </c>
      <c r="Q138" s="32">
        <f>Rådatakommune[[#This Row],[Kvinner20-39-O]]/Rådatakommune[[#This Row],[B17-O]]</f>
        <v>0.11164787976382179</v>
      </c>
      <c r="R138" s="32">
        <f>Rådatakommune[[#This Row],[Eldre67+-O]]/Rådatakommune[[#This Row],[B17-O]]</f>
        <v>0.18115942028985507</v>
      </c>
      <c r="S138" s="32">
        <f>Rådatakommune[[#This Row],[S16-O]]/Rådatakommune[[#This Row],[S06-O]]-1</f>
        <v>7.0307960488088295E-2</v>
      </c>
      <c r="T138" s="32">
        <f>Rådatakommune[[#This Row],[Y16-O]]/Rådatakommune[[#This Row],[Folk20-64-O]]</f>
        <v>0.93888105312646919</v>
      </c>
    </row>
    <row r="139" spans="1:20" x14ac:dyDescent="0.25">
      <c r="A139" s="2" t="s">
        <v>134</v>
      </c>
      <c r="B139" s="2">
        <v>138</v>
      </c>
      <c r="C139" s="35">
        <v>6873</v>
      </c>
      <c r="D139" s="34">
        <v>6936</v>
      </c>
      <c r="E139" s="31">
        <v>2974</v>
      </c>
      <c r="F139" s="36">
        <v>1343</v>
      </c>
      <c r="G139" s="37">
        <v>688</v>
      </c>
      <c r="H139">
        <v>3846</v>
      </c>
      <c r="I139" s="31">
        <v>2577</v>
      </c>
      <c r="J139" s="31">
        <v>2522</v>
      </c>
      <c r="K139" s="7">
        <v>192.98</v>
      </c>
      <c r="L139" s="38">
        <v>392300</v>
      </c>
      <c r="M139" s="39">
        <v>159.59375</v>
      </c>
      <c r="N139">
        <v>5</v>
      </c>
      <c r="O139" s="30">
        <f>Rådatakommune[[#This Row],[B17-O]]/Rådatakommune[[#This Row],[Totalareal2017-O]]</f>
        <v>35.941548346978962</v>
      </c>
      <c r="P139" s="32">
        <f>Rådatakommune[[#This Row],[B17-O]]/Rådatakommune[[#This Row],[B07-O]]-1</f>
        <v>9.1663029244870575E-3</v>
      </c>
      <c r="Q139" s="32">
        <f>Rådatakommune[[#This Row],[Kvinner20-39-O]]/Rådatakommune[[#This Row],[B17-O]]</f>
        <v>9.919261822376009E-2</v>
      </c>
      <c r="R139" s="32">
        <f>Rådatakommune[[#This Row],[Eldre67+-O]]/Rådatakommune[[#This Row],[B17-O]]</f>
        <v>0.19362745098039216</v>
      </c>
      <c r="S139" s="32">
        <f>Rådatakommune[[#This Row],[S16-O]]/Rådatakommune[[#This Row],[S06-O]]-1</f>
        <v>-2.1342646488164529E-2</v>
      </c>
      <c r="T139" s="32">
        <f>Rådatakommune[[#This Row],[Y16-O]]/Rådatakommune[[#This Row],[Folk20-64-O]]</f>
        <v>0.77327093083723353</v>
      </c>
    </row>
    <row r="140" spans="1:20" x14ac:dyDescent="0.25">
      <c r="A140" s="2" t="s">
        <v>135</v>
      </c>
      <c r="B140" s="2">
        <v>139</v>
      </c>
      <c r="C140" s="35">
        <v>19536</v>
      </c>
      <c r="D140" s="34">
        <v>22692</v>
      </c>
      <c r="E140" s="31">
        <v>10362</v>
      </c>
      <c r="F140" s="36">
        <v>3151</v>
      </c>
      <c r="G140" s="37">
        <v>2905</v>
      </c>
      <c r="H140">
        <v>13190</v>
      </c>
      <c r="I140" s="31">
        <v>8206</v>
      </c>
      <c r="J140" s="31">
        <v>8680</v>
      </c>
      <c r="K140" s="7">
        <v>303.58000000000004</v>
      </c>
      <c r="L140" s="38">
        <v>423400</v>
      </c>
      <c r="M140" s="39">
        <v>176.40625</v>
      </c>
      <c r="N140">
        <v>4</v>
      </c>
      <c r="O140" s="30">
        <f>Rådatakommune[[#This Row],[B17-O]]/Rådatakommune[[#This Row],[Totalareal2017-O]]</f>
        <v>74.748007115093216</v>
      </c>
      <c r="P140" s="32">
        <f>Rådatakommune[[#This Row],[B17-O]]/Rådatakommune[[#This Row],[B07-O]]-1</f>
        <v>0.16154791154791148</v>
      </c>
      <c r="Q140" s="32">
        <f>Rådatakommune[[#This Row],[Kvinner20-39-O]]/Rådatakommune[[#This Row],[B17-O]]</f>
        <v>0.12801868499911864</v>
      </c>
      <c r="R140" s="32">
        <f>Rådatakommune[[#This Row],[Eldre67+-O]]/Rådatakommune[[#This Row],[B17-O]]</f>
        <v>0.13885950995945709</v>
      </c>
      <c r="S140" s="32">
        <f>Rådatakommune[[#This Row],[S16-O]]/Rådatakommune[[#This Row],[S06-O]]-1</f>
        <v>5.7762612722398243E-2</v>
      </c>
      <c r="T140" s="32">
        <f>Rådatakommune[[#This Row],[Y16-O]]/Rådatakommune[[#This Row],[Folk20-64-O]]</f>
        <v>0.7855951478392722</v>
      </c>
    </row>
    <row r="141" spans="1:20" x14ac:dyDescent="0.25">
      <c r="A141" s="2" t="s">
        <v>136</v>
      </c>
      <c r="B141" s="2">
        <v>140</v>
      </c>
      <c r="C141" s="35">
        <v>40057</v>
      </c>
      <c r="D141" s="34">
        <v>44576</v>
      </c>
      <c r="E141" s="31">
        <v>19819</v>
      </c>
      <c r="F141" s="36">
        <v>6854</v>
      </c>
      <c r="G141" s="37">
        <v>5203</v>
      </c>
      <c r="H141">
        <v>25937</v>
      </c>
      <c r="I141" s="31">
        <v>19798</v>
      </c>
      <c r="J141" s="31">
        <v>20574</v>
      </c>
      <c r="K141" s="7">
        <v>270.20999999999998</v>
      </c>
      <c r="L141" s="38">
        <v>411300</v>
      </c>
      <c r="M141" s="39">
        <v>179.3125</v>
      </c>
      <c r="N141">
        <v>4</v>
      </c>
      <c r="O141" s="30">
        <f>Rådatakommune[[#This Row],[B17-O]]/Rådatakommune[[#This Row],[Totalareal2017-O]]</f>
        <v>164.96798786129307</v>
      </c>
      <c r="P141" s="32">
        <f>Rådatakommune[[#This Row],[B17-O]]/Rådatakommune[[#This Row],[B07-O]]-1</f>
        <v>0.11281423970841553</v>
      </c>
      <c r="Q141" s="32">
        <f>Rådatakommune[[#This Row],[Kvinner20-39-O]]/Rådatakommune[[#This Row],[B17-O]]</f>
        <v>0.11672200287150036</v>
      </c>
      <c r="R141" s="32">
        <f>Rådatakommune[[#This Row],[Eldre67+-O]]/Rådatakommune[[#This Row],[B17-O]]</f>
        <v>0.15375987078248385</v>
      </c>
      <c r="S141" s="32">
        <f>Rådatakommune[[#This Row],[S16-O]]/Rådatakommune[[#This Row],[S06-O]]-1</f>
        <v>3.9195878371552695E-2</v>
      </c>
      <c r="T141" s="32">
        <f>Rådatakommune[[#This Row],[Y16-O]]/Rådatakommune[[#This Row],[Folk20-64-O]]</f>
        <v>0.76412075413501945</v>
      </c>
    </row>
    <row r="142" spans="1:20" x14ac:dyDescent="0.25">
      <c r="A142" s="2" t="s">
        <v>137</v>
      </c>
      <c r="B142" s="2">
        <v>141</v>
      </c>
      <c r="C142" s="35">
        <v>2513</v>
      </c>
      <c r="D142" s="34">
        <v>2511</v>
      </c>
      <c r="E142" s="31">
        <v>1105</v>
      </c>
      <c r="F142" s="36">
        <v>456</v>
      </c>
      <c r="G142" s="37">
        <v>265</v>
      </c>
      <c r="H142">
        <v>1426</v>
      </c>
      <c r="I142" s="31">
        <v>972</v>
      </c>
      <c r="J142" s="31">
        <v>883</v>
      </c>
      <c r="K142" s="7">
        <v>322.14</v>
      </c>
      <c r="L142" s="38">
        <v>362500</v>
      </c>
      <c r="M142" s="39">
        <v>146.59375</v>
      </c>
      <c r="N142">
        <v>5</v>
      </c>
      <c r="O142" s="30">
        <f>Rådatakommune[[#This Row],[B17-O]]/Rådatakommune[[#This Row],[Totalareal2017-O]]</f>
        <v>7.7947476252561003</v>
      </c>
      <c r="P142" s="32">
        <f>Rådatakommune[[#This Row],[B17-O]]/Rådatakommune[[#This Row],[B07-O]]-1</f>
        <v>-7.9586152009547551E-4</v>
      </c>
      <c r="Q142" s="32">
        <f>Rådatakommune[[#This Row],[Kvinner20-39-O]]/Rådatakommune[[#This Row],[B17-O]]</f>
        <v>0.10553564317005178</v>
      </c>
      <c r="R142" s="32">
        <f>Rådatakommune[[#This Row],[Eldre67+-O]]/Rådatakommune[[#This Row],[B17-O]]</f>
        <v>0.18160095579450419</v>
      </c>
      <c r="S142" s="32">
        <f>Rådatakommune[[#This Row],[S16-O]]/Rådatakommune[[#This Row],[S06-O]]-1</f>
        <v>-9.1563786008230452E-2</v>
      </c>
      <c r="T142" s="32">
        <f>Rådatakommune[[#This Row],[Y16-O]]/Rådatakommune[[#This Row],[Folk20-64-O]]</f>
        <v>0.77489481065918653</v>
      </c>
    </row>
    <row r="143" spans="1:20" x14ac:dyDescent="0.25">
      <c r="A143" s="2" t="s">
        <v>138</v>
      </c>
      <c r="B143" s="2">
        <v>142</v>
      </c>
      <c r="C143" s="35">
        <v>1864</v>
      </c>
      <c r="D143" s="34">
        <v>2104</v>
      </c>
      <c r="E143" s="31">
        <v>943</v>
      </c>
      <c r="F143" s="36">
        <v>324</v>
      </c>
      <c r="G143" s="37">
        <v>235</v>
      </c>
      <c r="H143">
        <v>1194</v>
      </c>
      <c r="I143" s="31">
        <v>621</v>
      </c>
      <c r="J143" s="31">
        <v>572</v>
      </c>
      <c r="K143" s="7">
        <v>355.65</v>
      </c>
      <c r="L143" s="38">
        <v>362500</v>
      </c>
      <c r="M143" s="39">
        <v>154.5625</v>
      </c>
      <c r="N143">
        <v>4</v>
      </c>
      <c r="O143" s="30">
        <f>Rådatakommune[[#This Row],[B17-O]]/Rådatakommune[[#This Row],[Totalareal2017-O]]</f>
        <v>5.9159285814705473</v>
      </c>
      <c r="P143" s="32">
        <f>Rådatakommune[[#This Row],[B17-O]]/Rådatakommune[[#This Row],[B07-O]]-1</f>
        <v>0.12875536480686689</v>
      </c>
      <c r="Q143" s="32">
        <f>Rådatakommune[[#This Row],[Kvinner20-39-O]]/Rådatakommune[[#This Row],[B17-O]]</f>
        <v>0.11169201520912547</v>
      </c>
      <c r="R143" s="32">
        <f>Rådatakommune[[#This Row],[Eldre67+-O]]/Rådatakommune[[#This Row],[B17-O]]</f>
        <v>0.15399239543726237</v>
      </c>
      <c r="S143" s="32">
        <f>Rådatakommune[[#This Row],[S16-O]]/Rådatakommune[[#This Row],[S06-O]]-1</f>
        <v>-7.8904991948470227E-2</v>
      </c>
      <c r="T143" s="32">
        <f>Rådatakommune[[#This Row],[Y16-O]]/Rådatakommune[[#This Row],[Folk20-64-O]]</f>
        <v>0.7897822445561139</v>
      </c>
    </row>
    <row r="144" spans="1:20" x14ac:dyDescent="0.25">
      <c r="A144" s="2" t="s">
        <v>139</v>
      </c>
      <c r="B144" s="2">
        <v>143</v>
      </c>
      <c r="C144" s="35">
        <v>5822</v>
      </c>
      <c r="D144" s="34">
        <v>6051</v>
      </c>
      <c r="E144" s="31">
        <v>2565</v>
      </c>
      <c r="F144" s="36">
        <v>1096</v>
      </c>
      <c r="G144" s="37">
        <v>667</v>
      </c>
      <c r="H144">
        <v>3416</v>
      </c>
      <c r="I144" s="31">
        <v>2362</v>
      </c>
      <c r="J144" s="31">
        <v>2244</v>
      </c>
      <c r="K144" s="7">
        <v>215.05</v>
      </c>
      <c r="L144" s="38">
        <v>391200</v>
      </c>
      <c r="M144" s="39">
        <v>161.15625</v>
      </c>
      <c r="N144">
        <v>4</v>
      </c>
      <c r="O144" s="30">
        <f>Rådatakommune[[#This Row],[B17-O]]/Rådatakommune[[#This Row],[Totalareal2017-O]]</f>
        <v>28.137642408742153</v>
      </c>
      <c r="P144" s="32">
        <f>Rådatakommune[[#This Row],[B17-O]]/Rådatakommune[[#This Row],[B07-O]]-1</f>
        <v>3.9333562349707973E-2</v>
      </c>
      <c r="Q144" s="32">
        <f>Rådatakommune[[#This Row],[Kvinner20-39-O]]/Rådatakommune[[#This Row],[B17-O]]</f>
        <v>0.1102297140968435</v>
      </c>
      <c r="R144" s="32">
        <f>Rådatakommune[[#This Row],[Eldre67+-O]]/Rådatakommune[[#This Row],[B17-O]]</f>
        <v>0.18112708643199471</v>
      </c>
      <c r="S144" s="32">
        <f>Rådatakommune[[#This Row],[S16-O]]/Rådatakommune[[#This Row],[S06-O]]-1</f>
        <v>-4.995766299745974E-2</v>
      </c>
      <c r="T144" s="32">
        <f>Rådatakommune[[#This Row],[Y16-O]]/Rådatakommune[[#This Row],[Folk20-64-O]]</f>
        <v>0.7508782201405152</v>
      </c>
    </row>
    <row r="145" spans="1:20" x14ac:dyDescent="0.25">
      <c r="A145" s="2" t="s">
        <v>140</v>
      </c>
      <c r="B145" s="2">
        <v>144</v>
      </c>
      <c r="C145" s="35">
        <v>4759</v>
      </c>
      <c r="D145" s="34">
        <v>5713</v>
      </c>
      <c r="E145" s="31">
        <v>2653</v>
      </c>
      <c r="F145" s="36">
        <v>714</v>
      </c>
      <c r="G145" s="37">
        <v>735</v>
      </c>
      <c r="H145">
        <v>3343</v>
      </c>
      <c r="I145" s="31">
        <v>1229</v>
      </c>
      <c r="J145" s="31">
        <v>1346</v>
      </c>
      <c r="K145" s="7">
        <v>644.54</v>
      </c>
      <c r="L145" s="38">
        <v>387700</v>
      </c>
      <c r="M145" s="39">
        <v>181.9375</v>
      </c>
      <c r="N145">
        <v>4</v>
      </c>
      <c r="O145" s="30">
        <f>Rådatakommune[[#This Row],[B17-O]]/Rådatakommune[[#This Row],[Totalareal2017-O]]</f>
        <v>8.8636857293573712</v>
      </c>
      <c r="P145" s="32">
        <f>Rådatakommune[[#This Row],[B17-O]]/Rådatakommune[[#This Row],[B07-O]]-1</f>
        <v>0.20046228199201521</v>
      </c>
      <c r="Q145" s="32">
        <f>Rådatakommune[[#This Row],[Kvinner20-39-O]]/Rådatakommune[[#This Row],[B17-O]]</f>
        <v>0.12865394713810607</v>
      </c>
      <c r="R145" s="32">
        <f>Rådatakommune[[#This Row],[Eldre67+-O]]/Rådatakommune[[#This Row],[B17-O]]</f>
        <v>0.12497812007701734</v>
      </c>
      <c r="S145" s="32">
        <f>Rådatakommune[[#This Row],[S16-O]]/Rådatakommune[[#This Row],[S06-O]]-1</f>
        <v>9.5199349064279959E-2</v>
      </c>
      <c r="T145" s="32">
        <f>Rådatakommune[[#This Row],[Y16-O]]/Rådatakommune[[#This Row],[Folk20-64-O]]</f>
        <v>0.7935985641639246</v>
      </c>
    </row>
    <row r="146" spans="1:20" x14ac:dyDescent="0.25">
      <c r="A146" s="2" t="s">
        <v>141</v>
      </c>
      <c r="B146" s="2">
        <v>145</v>
      </c>
      <c r="C146" s="35">
        <v>9109</v>
      </c>
      <c r="D146" s="34">
        <v>10702</v>
      </c>
      <c r="E146" s="31">
        <v>5009</v>
      </c>
      <c r="F146" s="36">
        <v>1597</v>
      </c>
      <c r="G146" s="37">
        <v>1243</v>
      </c>
      <c r="H146">
        <v>6042</v>
      </c>
      <c r="I146" s="31">
        <v>3306</v>
      </c>
      <c r="J146" s="31">
        <v>4341</v>
      </c>
      <c r="K146" s="7">
        <v>190.43</v>
      </c>
      <c r="L146" s="38">
        <v>438000</v>
      </c>
      <c r="M146" s="39">
        <v>167.625</v>
      </c>
      <c r="N146">
        <v>2</v>
      </c>
      <c r="O146" s="30">
        <f>Rådatakommune[[#This Row],[B17-O]]/Rådatakommune[[#This Row],[Totalareal2017-O]]</f>
        <v>56.199128288609984</v>
      </c>
      <c r="P146" s="32">
        <f>Rådatakommune[[#This Row],[B17-O]]/Rådatakommune[[#This Row],[B07-O]]-1</f>
        <v>0.17488198485014816</v>
      </c>
      <c r="Q146" s="32">
        <f>Rådatakommune[[#This Row],[Kvinner20-39-O]]/Rådatakommune[[#This Row],[B17-O]]</f>
        <v>0.1161465146701551</v>
      </c>
      <c r="R146" s="32">
        <f>Rådatakommune[[#This Row],[Eldre67+-O]]/Rådatakommune[[#This Row],[B17-O]]</f>
        <v>0.14922444402915344</v>
      </c>
      <c r="S146" s="32">
        <f>Rådatakommune[[#This Row],[S16-O]]/Rådatakommune[[#This Row],[S06-O]]-1</f>
        <v>0.31306715063520874</v>
      </c>
      <c r="T146" s="32">
        <f>Rådatakommune[[#This Row],[Y16-O]]/Rådatakommune[[#This Row],[Folk20-64-O]]</f>
        <v>0.82903012247600127</v>
      </c>
    </row>
    <row r="147" spans="1:20" x14ac:dyDescent="0.25">
      <c r="A147" s="2" t="s">
        <v>142</v>
      </c>
      <c r="B147" s="2">
        <v>146</v>
      </c>
      <c r="C147" s="35">
        <v>4411</v>
      </c>
      <c r="D147" s="34">
        <v>5178</v>
      </c>
      <c r="E147" s="31">
        <v>2424</v>
      </c>
      <c r="F147" s="36">
        <v>692</v>
      </c>
      <c r="G147" s="37">
        <v>661</v>
      </c>
      <c r="H147">
        <v>2919</v>
      </c>
      <c r="I147" s="31">
        <v>1553</v>
      </c>
      <c r="J147" s="31">
        <v>1653</v>
      </c>
      <c r="K147" s="7">
        <v>674.20999999999992</v>
      </c>
      <c r="L147" s="38">
        <v>375400</v>
      </c>
      <c r="M147" s="39">
        <v>165.75</v>
      </c>
      <c r="N147">
        <v>2</v>
      </c>
      <c r="O147" s="30">
        <f>Rådatakommune[[#This Row],[B17-O]]/Rådatakommune[[#This Row],[Totalareal2017-O]]</f>
        <v>7.6800996722089563</v>
      </c>
      <c r="P147" s="32">
        <f>Rådatakommune[[#This Row],[B17-O]]/Rådatakommune[[#This Row],[B07-O]]-1</f>
        <v>0.17388347313534336</v>
      </c>
      <c r="Q147" s="32">
        <f>Rådatakommune[[#This Row],[Kvinner20-39-O]]/Rådatakommune[[#This Row],[B17-O]]</f>
        <v>0.12765546543066822</v>
      </c>
      <c r="R147" s="32">
        <f>Rådatakommune[[#This Row],[Eldre67+-O]]/Rådatakommune[[#This Row],[B17-O]]</f>
        <v>0.1336423329470838</v>
      </c>
      <c r="S147" s="32">
        <f>Rådatakommune[[#This Row],[S16-O]]/Rådatakommune[[#This Row],[S06-O]]-1</f>
        <v>6.4391500321957507E-2</v>
      </c>
      <c r="T147" s="32">
        <f>Rådatakommune[[#This Row],[Y16-O]]/Rådatakommune[[#This Row],[Folk20-64-O]]</f>
        <v>0.83042137718396714</v>
      </c>
    </row>
    <row r="148" spans="1:20" x14ac:dyDescent="0.25">
      <c r="A148" s="2" t="s">
        <v>143</v>
      </c>
      <c r="B148" s="2">
        <v>147</v>
      </c>
      <c r="C148" s="35">
        <v>1815</v>
      </c>
      <c r="D148" s="34">
        <v>1856</v>
      </c>
      <c r="E148" s="31">
        <v>807</v>
      </c>
      <c r="F148" s="36">
        <v>326</v>
      </c>
      <c r="G148" s="37">
        <v>195</v>
      </c>
      <c r="H148">
        <v>1018</v>
      </c>
      <c r="I148" s="31">
        <v>714</v>
      </c>
      <c r="J148" s="31">
        <v>775</v>
      </c>
      <c r="K148" s="7">
        <v>1130.6100000000001</v>
      </c>
      <c r="L148" s="38">
        <v>386500</v>
      </c>
      <c r="M148" s="39">
        <v>183.9375</v>
      </c>
      <c r="N148">
        <v>4</v>
      </c>
      <c r="O148" s="30">
        <f>Rådatakommune[[#This Row],[B17-O]]/Rådatakommune[[#This Row],[Totalareal2017-O]]</f>
        <v>1.6415917071315482</v>
      </c>
      <c r="P148" s="32">
        <f>Rådatakommune[[#This Row],[B17-O]]/Rådatakommune[[#This Row],[B07-O]]-1</f>
        <v>2.2589531680440755E-2</v>
      </c>
      <c r="Q148" s="32">
        <f>Rådatakommune[[#This Row],[Kvinner20-39-O]]/Rådatakommune[[#This Row],[B17-O]]</f>
        <v>0.1050646551724138</v>
      </c>
      <c r="R148" s="32">
        <f>Rådatakommune[[#This Row],[Eldre67+-O]]/Rådatakommune[[#This Row],[B17-O]]</f>
        <v>0.17564655172413793</v>
      </c>
      <c r="S148" s="32">
        <f>Rådatakommune[[#This Row],[S16-O]]/Rådatakommune[[#This Row],[S06-O]]-1</f>
        <v>8.5434173669467706E-2</v>
      </c>
      <c r="T148" s="32">
        <f>Rådatakommune[[#This Row],[Y16-O]]/Rådatakommune[[#This Row],[Folk20-64-O]]</f>
        <v>0.79273084479371314</v>
      </c>
    </row>
    <row r="149" spans="1:20" x14ac:dyDescent="0.25">
      <c r="A149" s="2" t="s">
        <v>144</v>
      </c>
      <c r="B149" s="2">
        <v>148</v>
      </c>
      <c r="C149" s="35">
        <v>1191</v>
      </c>
      <c r="D149" s="34">
        <v>1342</v>
      </c>
      <c r="E149" s="31">
        <v>627</v>
      </c>
      <c r="F149" s="36">
        <v>162</v>
      </c>
      <c r="G149" s="37">
        <v>169</v>
      </c>
      <c r="H149">
        <v>784</v>
      </c>
      <c r="I149" s="31">
        <v>359</v>
      </c>
      <c r="J149" s="31">
        <v>469</v>
      </c>
      <c r="K149" s="7">
        <v>261.63</v>
      </c>
      <c r="L149" s="38">
        <v>370200</v>
      </c>
      <c r="M149" s="39">
        <v>181.625</v>
      </c>
      <c r="N149">
        <v>2</v>
      </c>
      <c r="O149" s="30">
        <f>Rådatakommune[[#This Row],[B17-O]]/Rådatakommune[[#This Row],[Totalareal2017-O]]</f>
        <v>5.1293811871727248</v>
      </c>
      <c r="P149" s="32">
        <f>Rådatakommune[[#This Row],[B17-O]]/Rådatakommune[[#This Row],[B07-O]]-1</f>
        <v>0.12678421494542391</v>
      </c>
      <c r="Q149" s="32">
        <f>Rådatakommune[[#This Row],[Kvinner20-39-O]]/Rådatakommune[[#This Row],[B17-O]]</f>
        <v>0.12593144560357675</v>
      </c>
      <c r="R149" s="32">
        <f>Rådatakommune[[#This Row],[Eldre67+-O]]/Rådatakommune[[#This Row],[B17-O]]</f>
        <v>0.12071535022354694</v>
      </c>
      <c r="S149" s="32">
        <f>Rådatakommune[[#This Row],[S16-O]]/Rådatakommune[[#This Row],[S06-O]]-1</f>
        <v>0.30640668523676884</v>
      </c>
      <c r="T149" s="32">
        <f>Rådatakommune[[#This Row],[Y16-O]]/Rådatakommune[[#This Row],[Folk20-64-O]]</f>
        <v>0.79974489795918369</v>
      </c>
    </row>
    <row r="150" spans="1:20" x14ac:dyDescent="0.25">
      <c r="A150" s="2" t="s">
        <v>145</v>
      </c>
      <c r="B150" s="2">
        <v>149</v>
      </c>
      <c r="C150" s="35">
        <v>3315</v>
      </c>
      <c r="D150" s="34">
        <v>3614</v>
      </c>
      <c r="E150" s="31">
        <v>1665</v>
      </c>
      <c r="F150" s="36">
        <v>603</v>
      </c>
      <c r="G150" s="37">
        <v>423</v>
      </c>
      <c r="H150">
        <v>1968</v>
      </c>
      <c r="I150" s="31">
        <v>1511</v>
      </c>
      <c r="J150" s="31">
        <v>1611</v>
      </c>
      <c r="K150" s="7">
        <v>550.23</v>
      </c>
      <c r="L150" s="38">
        <v>374600</v>
      </c>
      <c r="M150" s="39">
        <v>199.3125</v>
      </c>
      <c r="N150">
        <v>5</v>
      </c>
      <c r="O150" s="30">
        <f>Rådatakommune[[#This Row],[B17-O]]/Rådatakommune[[#This Row],[Totalareal2017-O]]</f>
        <v>6.5681624048125329</v>
      </c>
      <c r="P150" s="32">
        <f>Rådatakommune[[#This Row],[B17-O]]/Rådatakommune[[#This Row],[B07-O]]-1</f>
        <v>9.0196078431372451E-2</v>
      </c>
      <c r="Q150" s="32">
        <f>Rådatakommune[[#This Row],[Kvinner20-39-O]]/Rådatakommune[[#This Row],[B17-O]]</f>
        <v>0.1170448256779192</v>
      </c>
      <c r="R150" s="32">
        <f>Rådatakommune[[#This Row],[Eldre67+-O]]/Rådatakommune[[#This Row],[B17-O]]</f>
        <v>0.16685113447703376</v>
      </c>
      <c r="S150" s="32">
        <f>Rådatakommune[[#This Row],[S16-O]]/Rådatakommune[[#This Row],[S06-O]]-1</f>
        <v>6.6181336863004647E-2</v>
      </c>
      <c r="T150" s="32">
        <f>Rådatakommune[[#This Row],[Y16-O]]/Rådatakommune[[#This Row],[Folk20-64-O]]</f>
        <v>0.84603658536585369</v>
      </c>
    </row>
    <row r="151" spans="1:20" x14ac:dyDescent="0.25">
      <c r="A151" s="2" t="s">
        <v>146</v>
      </c>
      <c r="B151" s="2">
        <v>150</v>
      </c>
      <c r="C151" s="35">
        <v>1272</v>
      </c>
      <c r="D151" s="34">
        <v>1200</v>
      </c>
      <c r="E151" s="31">
        <v>555</v>
      </c>
      <c r="F151" s="36">
        <v>223</v>
      </c>
      <c r="G151" s="37">
        <v>118</v>
      </c>
      <c r="H151">
        <v>673</v>
      </c>
      <c r="I151" s="31">
        <v>540</v>
      </c>
      <c r="J151" s="31">
        <v>512</v>
      </c>
      <c r="K151" s="7">
        <v>1311.66</v>
      </c>
      <c r="L151" s="38">
        <v>368500</v>
      </c>
      <c r="M151" s="39">
        <v>225.53125</v>
      </c>
      <c r="N151">
        <v>5</v>
      </c>
      <c r="O151" s="30">
        <f>Rådatakommune[[#This Row],[B17-O]]/Rådatakommune[[#This Row],[Totalareal2017-O]]</f>
        <v>0.91487123187411368</v>
      </c>
      <c r="P151" s="32">
        <f>Rådatakommune[[#This Row],[B17-O]]/Rådatakommune[[#This Row],[B07-O]]-1</f>
        <v>-5.6603773584905648E-2</v>
      </c>
      <c r="Q151" s="32">
        <f>Rådatakommune[[#This Row],[Kvinner20-39-O]]/Rådatakommune[[#This Row],[B17-O]]</f>
        <v>9.8333333333333328E-2</v>
      </c>
      <c r="R151" s="32">
        <f>Rådatakommune[[#This Row],[Eldre67+-O]]/Rådatakommune[[#This Row],[B17-O]]</f>
        <v>0.18583333333333332</v>
      </c>
      <c r="S151" s="32">
        <f>Rådatakommune[[#This Row],[S16-O]]/Rådatakommune[[#This Row],[S06-O]]-1</f>
        <v>-5.1851851851851816E-2</v>
      </c>
      <c r="T151" s="32">
        <f>Rådatakommune[[#This Row],[Y16-O]]/Rådatakommune[[#This Row],[Folk20-64-O]]</f>
        <v>0.82466567607726593</v>
      </c>
    </row>
    <row r="152" spans="1:20" x14ac:dyDescent="0.25">
      <c r="A152" s="2" t="s">
        <v>147</v>
      </c>
      <c r="B152" s="2">
        <v>151</v>
      </c>
      <c r="C152" s="35">
        <v>1320</v>
      </c>
      <c r="D152" s="34">
        <v>1246</v>
      </c>
      <c r="E152" s="31">
        <v>640</v>
      </c>
      <c r="F152" s="36">
        <v>216</v>
      </c>
      <c r="G152" s="37">
        <v>126</v>
      </c>
      <c r="H152">
        <v>701</v>
      </c>
      <c r="I152" s="31">
        <v>666</v>
      </c>
      <c r="J152" s="31">
        <v>595</v>
      </c>
      <c r="K152" s="7">
        <v>1265.31</v>
      </c>
      <c r="L152" s="38">
        <v>408800</v>
      </c>
      <c r="M152" s="39">
        <v>222.71875</v>
      </c>
      <c r="N152">
        <v>11</v>
      </c>
      <c r="O152" s="30">
        <f>Rådatakommune[[#This Row],[B17-O]]/Rådatakommune[[#This Row],[Totalareal2017-O]]</f>
        <v>0.98473891773557476</v>
      </c>
      <c r="P152" s="32">
        <f>Rådatakommune[[#This Row],[B17-O]]/Rådatakommune[[#This Row],[B07-O]]-1</f>
        <v>-5.6060606060606033E-2</v>
      </c>
      <c r="Q152" s="32">
        <f>Rådatakommune[[#This Row],[Kvinner20-39-O]]/Rådatakommune[[#This Row],[B17-O]]</f>
        <v>0.10112359550561797</v>
      </c>
      <c r="R152" s="32">
        <f>Rådatakommune[[#This Row],[Eldre67+-O]]/Rådatakommune[[#This Row],[B17-O]]</f>
        <v>0.17335473515248795</v>
      </c>
      <c r="S152" s="32">
        <f>Rådatakommune[[#This Row],[S16-O]]/Rådatakommune[[#This Row],[S06-O]]-1</f>
        <v>-0.10660660660660659</v>
      </c>
      <c r="T152" s="32">
        <f>Rådatakommune[[#This Row],[Y16-O]]/Rådatakommune[[#This Row],[Folk20-64-O]]</f>
        <v>0.91298145506419404</v>
      </c>
    </row>
    <row r="153" spans="1:20" x14ac:dyDescent="0.25">
      <c r="A153" s="2" t="s">
        <v>148</v>
      </c>
      <c r="B153" s="2">
        <v>152</v>
      </c>
      <c r="C153" s="35">
        <v>902</v>
      </c>
      <c r="D153" s="34">
        <v>952</v>
      </c>
      <c r="E153" s="31">
        <v>566</v>
      </c>
      <c r="F153" s="36">
        <v>111</v>
      </c>
      <c r="G153" s="37">
        <v>127</v>
      </c>
      <c r="H153">
        <v>606</v>
      </c>
      <c r="I153" s="31">
        <v>538</v>
      </c>
      <c r="J153" s="31">
        <v>637</v>
      </c>
      <c r="K153" s="7">
        <v>1467.13</v>
      </c>
      <c r="L153" s="38">
        <v>439500</v>
      </c>
      <c r="M153" s="39">
        <v>219.4375</v>
      </c>
      <c r="N153">
        <v>11</v>
      </c>
      <c r="O153" s="30">
        <f>Rådatakommune[[#This Row],[B17-O]]/Rådatakommune[[#This Row],[Totalareal2017-O]]</f>
        <v>0.64888592012977708</v>
      </c>
      <c r="P153" s="32">
        <f>Rådatakommune[[#This Row],[B17-O]]/Rådatakommune[[#This Row],[B07-O]]-1</f>
        <v>5.5432372505543226E-2</v>
      </c>
      <c r="Q153" s="32">
        <f>Rådatakommune[[#This Row],[Kvinner20-39-O]]/Rådatakommune[[#This Row],[B17-O]]</f>
        <v>0.13340336134453781</v>
      </c>
      <c r="R153" s="32">
        <f>Rådatakommune[[#This Row],[Eldre67+-O]]/Rådatakommune[[#This Row],[B17-O]]</f>
        <v>0.11659663865546219</v>
      </c>
      <c r="S153" s="32">
        <f>Rådatakommune[[#This Row],[S16-O]]/Rådatakommune[[#This Row],[S06-O]]-1</f>
        <v>0.18401486988847582</v>
      </c>
      <c r="T153" s="32">
        <f>Rådatakommune[[#This Row],[Y16-O]]/Rådatakommune[[#This Row],[Folk20-64-O]]</f>
        <v>0.93399339933993397</v>
      </c>
    </row>
    <row r="154" spans="1:20" x14ac:dyDescent="0.25">
      <c r="A154" s="2" t="s">
        <v>149</v>
      </c>
      <c r="B154" s="2">
        <v>153</v>
      </c>
      <c r="C154" s="35">
        <v>77840</v>
      </c>
      <c r="D154" s="34">
        <v>89268</v>
      </c>
      <c r="E154" s="31">
        <v>41901</v>
      </c>
      <c r="F154" s="36">
        <v>11785</v>
      </c>
      <c r="G154" s="37">
        <v>12322</v>
      </c>
      <c r="H154">
        <v>53399</v>
      </c>
      <c r="I154" s="31">
        <v>45284</v>
      </c>
      <c r="J154" s="31">
        <v>49102</v>
      </c>
      <c r="K154" s="7">
        <v>276.88</v>
      </c>
      <c r="L154" s="38">
        <v>427200</v>
      </c>
      <c r="M154" s="39">
        <v>159.78125</v>
      </c>
      <c r="N154">
        <v>2</v>
      </c>
      <c r="O154" s="30">
        <f>Rådatakommune[[#This Row],[B17-O]]/Rådatakommune[[#This Row],[Totalareal2017-O]]</f>
        <v>322.406818838486</v>
      </c>
      <c r="P154" s="32">
        <f>Rådatakommune[[#This Row],[B17-O]]/Rådatakommune[[#This Row],[B07-O]]-1</f>
        <v>0.14681397738951696</v>
      </c>
      <c r="Q154" s="32">
        <f>Rådatakommune[[#This Row],[Kvinner20-39-O]]/Rådatakommune[[#This Row],[B17-O]]</f>
        <v>0.13803378590312318</v>
      </c>
      <c r="R154" s="32">
        <f>Rådatakommune[[#This Row],[Eldre67+-O]]/Rådatakommune[[#This Row],[B17-O]]</f>
        <v>0.13201819240937401</v>
      </c>
      <c r="S154" s="32">
        <f>Rådatakommune[[#This Row],[S16-O]]/Rådatakommune[[#This Row],[S06-O]]-1</f>
        <v>8.4312339899302202E-2</v>
      </c>
      <c r="T154" s="32">
        <f>Rådatakommune[[#This Row],[Y16-O]]/Rådatakommune[[#This Row],[Folk20-64-O]]</f>
        <v>0.78467761568568695</v>
      </c>
    </row>
    <row r="155" spans="1:20" x14ac:dyDescent="0.25">
      <c r="A155" s="2" t="s">
        <v>150</v>
      </c>
      <c r="B155" s="2">
        <v>154</v>
      </c>
      <c r="C155" s="35">
        <v>14200</v>
      </c>
      <c r="D155" s="34">
        <v>15600</v>
      </c>
      <c r="E155" s="31">
        <v>7074</v>
      </c>
      <c r="F155" s="36">
        <v>2424</v>
      </c>
      <c r="G155" s="37">
        <v>1807</v>
      </c>
      <c r="H155">
        <v>8777</v>
      </c>
      <c r="I155" s="31">
        <v>5854</v>
      </c>
      <c r="J155" s="31">
        <v>6112</v>
      </c>
      <c r="K155" s="7">
        <v>222.83</v>
      </c>
      <c r="L155" s="38">
        <v>406100</v>
      </c>
      <c r="M155" s="39">
        <v>195.53125</v>
      </c>
      <c r="N155">
        <v>5</v>
      </c>
      <c r="O155" s="30">
        <f>Rådatakommune[[#This Row],[B17-O]]/Rådatakommune[[#This Row],[Totalareal2017-O]]</f>
        <v>70.008526679531471</v>
      </c>
      <c r="P155" s="32">
        <f>Rådatakommune[[#This Row],[B17-O]]/Rådatakommune[[#This Row],[B07-O]]-1</f>
        <v>9.8591549295774739E-2</v>
      </c>
      <c r="Q155" s="32">
        <f>Rådatakommune[[#This Row],[Kvinner20-39-O]]/Rådatakommune[[#This Row],[B17-O]]</f>
        <v>0.11583333333333333</v>
      </c>
      <c r="R155" s="32">
        <f>Rådatakommune[[#This Row],[Eldre67+-O]]/Rådatakommune[[#This Row],[B17-O]]</f>
        <v>0.15538461538461537</v>
      </c>
      <c r="S155" s="32">
        <f>Rådatakommune[[#This Row],[S16-O]]/Rådatakommune[[#This Row],[S06-O]]-1</f>
        <v>4.4072429108302114E-2</v>
      </c>
      <c r="T155" s="32">
        <f>Rådatakommune[[#This Row],[Y16-O]]/Rådatakommune[[#This Row],[Folk20-64-O]]</f>
        <v>0.80597014925373134</v>
      </c>
    </row>
    <row r="156" spans="1:20" x14ac:dyDescent="0.25">
      <c r="A156" s="2" t="s">
        <v>151</v>
      </c>
      <c r="B156" s="2">
        <v>155</v>
      </c>
      <c r="C156" s="35">
        <v>9386</v>
      </c>
      <c r="D156" s="34">
        <v>9769</v>
      </c>
      <c r="E156" s="31">
        <v>4632</v>
      </c>
      <c r="F156" s="36">
        <v>1689</v>
      </c>
      <c r="G156" s="37">
        <v>1077</v>
      </c>
      <c r="H156">
        <v>5349</v>
      </c>
      <c r="I156" s="31">
        <v>3698</v>
      </c>
      <c r="J156" s="31">
        <v>4019</v>
      </c>
      <c r="K156" s="7">
        <v>262.55</v>
      </c>
      <c r="L156" s="38">
        <v>408600</v>
      </c>
      <c r="M156" s="39">
        <v>233.46875</v>
      </c>
      <c r="N156">
        <v>6</v>
      </c>
      <c r="O156" s="30">
        <f>Rådatakommune[[#This Row],[B17-O]]/Rådatakommune[[#This Row],[Totalareal2017-O]]</f>
        <v>37.208150828413636</v>
      </c>
      <c r="P156" s="32">
        <f>Rådatakommune[[#This Row],[B17-O]]/Rådatakommune[[#This Row],[B07-O]]-1</f>
        <v>4.0805454932878682E-2</v>
      </c>
      <c r="Q156" s="32">
        <f>Rådatakommune[[#This Row],[Kvinner20-39-O]]/Rådatakommune[[#This Row],[B17-O]]</f>
        <v>0.11024669874091514</v>
      </c>
      <c r="R156" s="32">
        <f>Rådatakommune[[#This Row],[Eldre67+-O]]/Rådatakommune[[#This Row],[B17-O]]</f>
        <v>0.17289384788617054</v>
      </c>
      <c r="S156" s="32">
        <f>Rådatakommune[[#This Row],[S16-O]]/Rådatakommune[[#This Row],[S06-O]]-1</f>
        <v>8.6803677663601864E-2</v>
      </c>
      <c r="T156" s="32">
        <f>Rådatakommune[[#This Row],[Y16-O]]/Rådatakommune[[#This Row],[Folk20-64-O]]</f>
        <v>0.86595625350532812</v>
      </c>
    </row>
    <row r="157" spans="1:20" x14ac:dyDescent="0.25">
      <c r="A157" s="2" t="s">
        <v>152</v>
      </c>
      <c r="B157" s="2">
        <v>156</v>
      </c>
      <c r="C157" s="35">
        <v>8860</v>
      </c>
      <c r="D157" s="34">
        <v>9090</v>
      </c>
      <c r="E157" s="31">
        <v>4313</v>
      </c>
      <c r="F157" s="36">
        <v>1636</v>
      </c>
      <c r="G157" s="37">
        <v>951</v>
      </c>
      <c r="H157">
        <v>5034</v>
      </c>
      <c r="I157" s="31">
        <v>4032</v>
      </c>
      <c r="J157" s="31">
        <v>4110</v>
      </c>
      <c r="K157" s="7">
        <v>543.53</v>
      </c>
      <c r="L157" s="38">
        <v>416100</v>
      </c>
      <c r="M157" s="39">
        <v>245.6875</v>
      </c>
      <c r="N157">
        <v>6</v>
      </c>
      <c r="O157" s="30">
        <f>Rådatakommune[[#This Row],[B17-O]]/Rådatakommune[[#This Row],[Totalareal2017-O]]</f>
        <v>16.724007874450354</v>
      </c>
      <c r="P157" s="32">
        <f>Rådatakommune[[#This Row],[B17-O]]/Rådatakommune[[#This Row],[B07-O]]-1</f>
        <v>2.5959367945823875E-2</v>
      </c>
      <c r="Q157" s="32">
        <f>Rådatakommune[[#This Row],[Kvinner20-39-O]]/Rådatakommune[[#This Row],[B17-O]]</f>
        <v>0.10462046204620462</v>
      </c>
      <c r="R157" s="32">
        <f>Rådatakommune[[#This Row],[Eldre67+-O]]/Rådatakommune[[#This Row],[B17-O]]</f>
        <v>0.17997799779977997</v>
      </c>
      <c r="S157" s="32">
        <f>Rådatakommune[[#This Row],[S16-O]]/Rådatakommune[[#This Row],[S06-O]]-1</f>
        <v>1.9345238095238138E-2</v>
      </c>
      <c r="T157" s="32">
        <f>Rådatakommune[[#This Row],[Y16-O]]/Rådatakommune[[#This Row],[Folk20-64-O]]</f>
        <v>0.85677393722685735</v>
      </c>
    </row>
    <row r="158" spans="1:20" x14ac:dyDescent="0.25">
      <c r="A158" s="2" t="s">
        <v>153</v>
      </c>
      <c r="B158" s="2">
        <v>157</v>
      </c>
      <c r="C158" s="35">
        <v>12555</v>
      </c>
      <c r="D158" s="34">
        <v>14425</v>
      </c>
      <c r="E158" s="31">
        <v>6776</v>
      </c>
      <c r="F158" s="36">
        <v>1874</v>
      </c>
      <c r="G158" s="37">
        <v>1926</v>
      </c>
      <c r="H158">
        <v>8463</v>
      </c>
      <c r="I158" s="31">
        <v>4030</v>
      </c>
      <c r="J158" s="31">
        <v>4401</v>
      </c>
      <c r="K158" s="7">
        <v>384.47</v>
      </c>
      <c r="L158" s="38">
        <v>378900</v>
      </c>
      <c r="M158" s="39">
        <v>159.4375</v>
      </c>
      <c r="N158">
        <v>2</v>
      </c>
      <c r="O158" s="30">
        <f>Rådatakommune[[#This Row],[B17-O]]/Rådatakommune[[#This Row],[Totalareal2017-O]]</f>
        <v>37.519182250890836</v>
      </c>
      <c r="P158" s="32">
        <f>Rådatakommune[[#This Row],[B17-O]]/Rådatakommune[[#This Row],[B07-O]]-1</f>
        <v>0.14894464356829951</v>
      </c>
      <c r="Q158" s="32">
        <f>Rådatakommune[[#This Row],[Kvinner20-39-O]]/Rådatakommune[[#This Row],[B17-O]]</f>
        <v>0.13351819757365685</v>
      </c>
      <c r="R158" s="32">
        <f>Rådatakommune[[#This Row],[Eldre67+-O]]/Rådatakommune[[#This Row],[B17-O]]</f>
        <v>0.12991334488734835</v>
      </c>
      <c r="S158" s="32">
        <f>Rådatakommune[[#This Row],[S16-O]]/Rådatakommune[[#This Row],[S06-O]]-1</f>
        <v>9.2059553349876033E-2</v>
      </c>
      <c r="T158" s="32">
        <f>Rådatakommune[[#This Row],[Y16-O]]/Rådatakommune[[#This Row],[Folk20-64-O]]</f>
        <v>0.80066170388751035</v>
      </c>
    </row>
    <row r="159" spans="1:20" x14ac:dyDescent="0.25">
      <c r="A159" s="2" t="s">
        <v>154</v>
      </c>
      <c r="B159" s="2">
        <v>158</v>
      </c>
      <c r="C159" s="35">
        <v>5664</v>
      </c>
      <c r="D159" s="34">
        <v>6568</v>
      </c>
      <c r="E159" s="31">
        <v>2992</v>
      </c>
      <c r="F159" s="36">
        <v>806</v>
      </c>
      <c r="G159" s="37">
        <v>854</v>
      </c>
      <c r="H159">
        <v>3821</v>
      </c>
      <c r="I159" s="31">
        <v>1938</v>
      </c>
      <c r="J159" s="31">
        <v>2750</v>
      </c>
      <c r="K159" s="7">
        <v>215.94</v>
      </c>
      <c r="L159" s="38">
        <v>380900</v>
      </c>
      <c r="M159" s="39">
        <v>170.6875</v>
      </c>
      <c r="N159">
        <v>2</v>
      </c>
      <c r="O159" s="30">
        <f>Rådatakommune[[#This Row],[B17-O]]/Rådatakommune[[#This Row],[Totalareal2017-O]]</f>
        <v>30.415856256367508</v>
      </c>
      <c r="P159" s="32">
        <f>Rådatakommune[[#This Row],[B17-O]]/Rådatakommune[[#This Row],[B07-O]]-1</f>
        <v>0.15960451977401124</v>
      </c>
      <c r="Q159" s="32">
        <f>Rådatakommune[[#This Row],[Kvinner20-39-O]]/Rådatakommune[[#This Row],[B17-O]]</f>
        <v>0.13002436053593178</v>
      </c>
      <c r="R159" s="32">
        <f>Rådatakommune[[#This Row],[Eldre67+-O]]/Rådatakommune[[#This Row],[B17-O]]</f>
        <v>0.12271619975639464</v>
      </c>
      <c r="S159" s="32">
        <f>Rådatakommune[[#This Row],[S16-O]]/Rådatakommune[[#This Row],[S06-O]]-1</f>
        <v>0.41898864809081537</v>
      </c>
      <c r="T159" s="32">
        <f>Rådatakommune[[#This Row],[Y16-O]]/Rådatakommune[[#This Row],[Folk20-64-O]]</f>
        <v>0.78304108872023026</v>
      </c>
    </row>
    <row r="160" spans="1:20" x14ac:dyDescent="0.25">
      <c r="A160" s="2" t="s">
        <v>155</v>
      </c>
      <c r="B160" s="2">
        <v>159</v>
      </c>
      <c r="C160" s="35">
        <v>9743</v>
      </c>
      <c r="D160" s="34">
        <v>11321</v>
      </c>
      <c r="E160" s="31">
        <v>5377</v>
      </c>
      <c r="F160" s="36">
        <v>1510</v>
      </c>
      <c r="G160" s="37">
        <v>1359</v>
      </c>
      <c r="H160">
        <v>6513</v>
      </c>
      <c r="I160" s="31">
        <v>3290</v>
      </c>
      <c r="J160" s="31">
        <v>3354</v>
      </c>
      <c r="K160" s="7">
        <v>151.33000000000001</v>
      </c>
      <c r="L160" s="38">
        <v>424900</v>
      </c>
      <c r="M160" s="39">
        <v>172.21875</v>
      </c>
      <c r="N160">
        <v>2</v>
      </c>
      <c r="O160" s="30">
        <f>Rådatakommune[[#This Row],[B17-O]]/Rådatakommune[[#This Row],[Totalareal2017-O]]</f>
        <v>74.810017841802676</v>
      </c>
      <c r="P160" s="32">
        <f>Rådatakommune[[#This Row],[B17-O]]/Rådatakommune[[#This Row],[B07-O]]-1</f>
        <v>0.16196243456840809</v>
      </c>
      <c r="Q160" s="32">
        <f>Rådatakommune[[#This Row],[Kvinner20-39-O]]/Rådatakommune[[#This Row],[B17-O]]</f>
        <v>0.12004239908135324</v>
      </c>
      <c r="R160" s="32">
        <f>Rådatakommune[[#This Row],[Eldre67+-O]]/Rådatakommune[[#This Row],[B17-O]]</f>
        <v>0.13338044342372582</v>
      </c>
      <c r="S160" s="32">
        <f>Rådatakommune[[#This Row],[S16-O]]/Rådatakommune[[#This Row],[S06-O]]-1</f>
        <v>1.9452887537994012E-2</v>
      </c>
      <c r="T160" s="32">
        <f>Rådatakommune[[#This Row],[Y16-O]]/Rådatakommune[[#This Row],[Folk20-64-O]]</f>
        <v>0.82557961001074776</v>
      </c>
    </row>
    <row r="161" spans="1:20" x14ac:dyDescent="0.25">
      <c r="A161" s="2" t="s">
        <v>156</v>
      </c>
      <c r="B161" s="2">
        <v>160</v>
      </c>
      <c r="C161" s="35">
        <v>2147</v>
      </c>
      <c r="D161" s="34">
        <v>2309</v>
      </c>
      <c r="E161" s="31">
        <v>1083</v>
      </c>
      <c r="F161" s="36">
        <v>328</v>
      </c>
      <c r="G161" s="37">
        <v>270</v>
      </c>
      <c r="H161">
        <v>1325</v>
      </c>
      <c r="I161" s="31">
        <v>777</v>
      </c>
      <c r="J161" s="31">
        <v>694</v>
      </c>
      <c r="K161" s="7">
        <v>395.01</v>
      </c>
      <c r="L161" s="38">
        <v>382700</v>
      </c>
      <c r="M161" s="39">
        <v>195.09375</v>
      </c>
      <c r="N161">
        <v>5</v>
      </c>
      <c r="O161" s="30">
        <f>Rådatakommune[[#This Row],[B17-O]]/Rådatakommune[[#This Row],[Totalareal2017-O]]</f>
        <v>5.8454216348953194</v>
      </c>
      <c r="P161" s="32">
        <f>Rådatakommune[[#This Row],[B17-O]]/Rådatakommune[[#This Row],[B07-O]]-1</f>
        <v>7.5454122030740534E-2</v>
      </c>
      <c r="Q161" s="32">
        <f>Rådatakommune[[#This Row],[Kvinner20-39-O]]/Rådatakommune[[#This Row],[B17-O]]</f>
        <v>0.1169337375487224</v>
      </c>
      <c r="R161" s="32">
        <f>Rådatakommune[[#This Row],[Eldre67+-O]]/Rådatakommune[[#This Row],[B17-O]]</f>
        <v>0.14205283672585534</v>
      </c>
      <c r="S161" s="32">
        <f>Rådatakommune[[#This Row],[S16-O]]/Rådatakommune[[#This Row],[S06-O]]-1</f>
        <v>-0.10682110682110679</v>
      </c>
      <c r="T161" s="32">
        <f>Rådatakommune[[#This Row],[Y16-O]]/Rådatakommune[[#This Row],[Folk20-64-O]]</f>
        <v>0.81735849056603771</v>
      </c>
    </row>
    <row r="162" spans="1:20" x14ac:dyDescent="0.25">
      <c r="A162" s="2" t="s">
        <v>157</v>
      </c>
      <c r="B162" s="2">
        <v>161</v>
      </c>
      <c r="C162" s="35">
        <v>893</v>
      </c>
      <c r="D162" s="34">
        <v>937</v>
      </c>
      <c r="E162" s="31">
        <v>481</v>
      </c>
      <c r="F162" s="36">
        <v>130</v>
      </c>
      <c r="G162" s="37">
        <v>101</v>
      </c>
      <c r="H162">
        <v>529</v>
      </c>
      <c r="I162" s="31">
        <v>486</v>
      </c>
      <c r="J162" s="31">
        <v>568</v>
      </c>
      <c r="K162" s="7">
        <v>887.52</v>
      </c>
      <c r="L162" s="38">
        <v>377700</v>
      </c>
      <c r="M162" s="39">
        <v>218.875</v>
      </c>
      <c r="N162">
        <v>5</v>
      </c>
      <c r="O162" s="30">
        <f>Rådatakommune[[#This Row],[B17-O]]/Rådatakommune[[#This Row],[Totalareal2017-O]]</f>
        <v>1.0557508563187308</v>
      </c>
      <c r="P162" s="32">
        <f>Rådatakommune[[#This Row],[B17-O]]/Rådatakommune[[#This Row],[B07-O]]-1</f>
        <v>4.9272116461366089E-2</v>
      </c>
      <c r="Q162" s="32">
        <f>Rådatakommune[[#This Row],[Kvinner20-39-O]]/Rådatakommune[[#This Row],[B17-O]]</f>
        <v>0.10779082177161152</v>
      </c>
      <c r="R162" s="32">
        <f>Rådatakommune[[#This Row],[Eldre67+-O]]/Rådatakommune[[#This Row],[B17-O]]</f>
        <v>0.13874066168623267</v>
      </c>
      <c r="S162" s="32">
        <f>Rådatakommune[[#This Row],[S16-O]]/Rådatakommune[[#This Row],[S06-O]]-1</f>
        <v>0.16872427983539096</v>
      </c>
      <c r="T162" s="32">
        <f>Rådatakommune[[#This Row],[Y16-O]]/Rådatakommune[[#This Row],[Folk20-64-O]]</f>
        <v>0.90926275992438566</v>
      </c>
    </row>
    <row r="163" spans="1:20" x14ac:dyDescent="0.25">
      <c r="A163" s="2" t="s">
        <v>158</v>
      </c>
      <c r="B163" s="2">
        <v>162</v>
      </c>
      <c r="C163" s="35">
        <v>1595</v>
      </c>
      <c r="D163" s="34">
        <v>1765</v>
      </c>
      <c r="E163" s="31">
        <v>870</v>
      </c>
      <c r="F163" s="36">
        <v>261</v>
      </c>
      <c r="G163" s="37">
        <v>205</v>
      </c>
      <c r="H163">
        <v>969</v>
      </c>
      <c r="I163" s="31">
        <v>674</v>
      </c>
      <c r="J163" s="31">
        <v>671</v>
      </c>
      <c r="K163" s="7">
        <v>251.45</v>
      </c>
      <c r="L163" s="38">
        <v>391300</v>
      </c>
      <c r="M163" s="39">
        <v>201.90625</v>
      </c>
      <c r="N163">
        <v>5</v>
      </c>
      <c r="O163" s="30">
        <f>Rådatakommune[[#This Row],[B17-O]]/Rådatakommune[[#This Row],[Totalareal2017-O]]</f>
        <v>7.0192881288526552</v>
      </c>
      <c r="P163" s="32">
        <f>Rådatakommune[[#This Row],[B17-O]]/Rådatakommune[[#This Row],[B07-O]]-1</f>
        <v>0.10658307210031337</v>
      </c>
      <c r="Q163" s="32">
        <f>Rådatakommune[[#This Row],[Kvinner20-39-O]]/Rådatakommune[[#This Row],[B17-O]]</f>
        <v>0.11614730878186968</v>
      </c>
      <c r="R163" s="32">
        <f>Rådatakommune[[#This Row],[Eldre67+-O]]/Rådatakommune[[#This Row],[B17-O]]</f>
        <v>0.14787535410764874</v>
      </c>
      <c r="S163" s="32">
        <f>Rådatakommune[[#This Row],[S16-O]]/Rådatakommune[[#This Row],[S06-O]]-1</f>
        <v>-4.4510385756676429E-3</v>
      </c>
      <c r="T163" s="32">
        <f>Rådatakommune[[#This Row],[Y16-O]]/Rådatakommune[[#This Row],[Folk20-64-O]]</f>
        <v>0.89783281733746134</v>
      </c>
    </row>
    <row r="164" spans="1:20" x14ac:dyDescent="0.25">
      <c r="A164" s="2" t="s">
        <v>159</v>
      </c>
      <c r="B164" s="2">
        <v>163</v>
      </c>
      <c r="C164" s="35">
        <v>4520</v>
      </c>
      <c r="D164" s="34">
        <v>4950</v>
      </c>
      <c r="E164" s="31">
        <v>2270</v>
      </c>
      <c r="F164" s="36">
        <v>807</v>
      </c>
      <c r="G164" s="37">
        <v>585</v>
      </c>
      <c r="H164">
        <v>2732</v>
      </c>
      <c r="I164" s="31">
        <v>1911</v>
      </c>
      <c r="J164" s="31">
        <v>1891</v>
      </c>
      <c r="K164" s="7">
        <v>316.47000000000003</v>
      </c>
      <c r="L164" s="38">
        <v>396300</v>
      </c>
      <c r="M164" s="39">
        <v>202.3125</v>
      </c>
      <c r="N164">
        <v>5</v>
      </c>
      <c r="O164" s="30">
        <f>Rådatakommune[[#This Row],[B17-O]]/Rådatakommune[[#This Row],[Totalareal2017-O]]</f>
        <v>15.641293013555785</v>
      </c>
      <c r="P164" s="32">
        <f>Rådatakommune[[#This Row],[B17-O]]/Rådatakommune[[#This Row],[B07-O]]-1</f>
        <v>9.5132743362831951E-2</v>
      </c>
      <c r="Q164" s="32">
        <f>Rådatakommune[[#This Row],[Kvinner20-39-O]]/Rådatakommune[[#This Row],[B17-O]]</f>
        <v>0.11818181818181818</v>
      </c>
      <c r="R164" s="32">
        <f>Rådatakommune[[#This Row],[Eldre67+-O]]/Rådatakommune[[#This Row],[B17-O]]</f>
        <v>0.16303030303030303</v>
      </c>
      <c r="S164" s="32">
        <f>Rådatakommune[[#This Row],[S16-O]]/Rådatakommune[[#This Row],[S06-O]]-1</f>
        <v>-1.0465724751439032E-2</v>
      </c>
      <c r="T164" s="32">
        <f>Rådatakommune[[#This Row],[Y16-O]]/Rådatakommune[[#This Row],[Folk20-64-O]]</f>
        <v>0.83089311859443626</v>
      </c>
    </row>
    <row r="165" spans="1:20" x14ac:dyDescent="0.25">
      <c r="A165" s="2" t="s">
        <v>160</v>
      </c>
      <c r="B165" s="2">
        <v>164</v>
      </c>
      <c r="C165" s="35">
        <v>7368</v>
      </c>
      <c r="D165" s="34">
        <v>8588</v>
      </c>
      <c r="E165" s="31">
        <v>3977</v>
      </c>
      <c r="F165" s="36">
        <v>1180</v>
      </c>
      <c r="G165" s="37">
        <v>1021</v>
      </c>
      <c r="H165">
        <v>4708</v>
      </c>
      <c r="I165" s="31">
        <v>3621</v>
      </c>
      <c r="J165" s="31">
        <v>4066</v>
      </c>
      <c r="K165" s="7">
        <v>391.17</v>
      </c>
      <c r="L165" s="38">
        <v>391500</v>
      </c>
      <c r="M165" s="39">
        <v>219.125</v>
      </c>
      <c r="N165">
        <v>5</v>
      </c>
      <c r="O165" s="30">
        <f>Rådatakommune[[#This Row],[B17-O]]/Rådatakommune[[#This Row],[Totalareal2017-O]]</f>
        <v>21.954648873891145</v>
      </c>
      <c r="P165" s="32">
        <f>Rådatakommune[[#This Row],[B17-O]]/Rådatakommune[[#This Row],[B07-O]]-1</f>
        <v>0.16558089033659074</v>
      </c>
      <c r="Q165" s="32">
        <f>Rådatakommune[[#This Row],[Kvinner20-39-O]]/Rådatakommune[[#This Row],[B17-O]]</f>
        <v>0.11888681881695388</v>
      </c>
      <c r="R165" s="32">
        <f>Rådatakommune[[#This Row],[Eldre67+-O]]/Rådatakommune[[#This Row],[B17-O]]</f>
        <v>0.13740102468560783</v>
      </c>
      <c r="S165" s="32">
        <f>Rådatakommune[[#This Row],[S16-O]]/Rådatakommune[[#This Row],[S06-O]]-1</f>
        <v>0.12289422811378081</v>
      </c>
      <c r="T165" s="32">
        <f>Rådatakommune[[#This Row],[Y16-O]]/Rådatakommune[[#This Row],[Folk20-64-O]]</f>
        <v>0.84473237043330496</v>
      </c>
    </row>
    <row r="166" spans="1:20" x14ac:dyDescent="0.25">
      <c r="A166" s="2" t="s">
        <v>161</v>
      </c>
      <c r="B166" s="2">
        <v>165</v>
      </c>
      <c r="C166" s="35">
        <v>1599</v>
      </c>
      <c r="D166" s="34">
        <v>1702</v>
      </c>
      <c r="E166" s="31">
        <v>878</v>
      </c>
      <c r="F166" s="36">
        <v>269</v>
      </c>
      <c r="G166" s="37">
        <v>199</v>
      </c>
      <c r="H166">
        <v>946</v>
      </c>
      <c r="I166" s="31">
        <v>653</v>
      </c>
      <c r="J166" s="31">
        <v>769</v>
      </c>
      <c r="K166" s="7">
        <v>461.33</v>
      </c>
      <c r="L166" s="38">
        <v>405000</v>
      </c>
      <c r="M166" s="39">
        <v>213.84375</v>
      </c>
      <c r="N166">
        <v>5</v>
      </c>
      <c r="O166" s="30">
        <f>Rådatakommune[[#This Row],[B17-O]]/Rådatakommune[[#This Row],[Totalareal2017-O]]</f>
        <v>3.689333015411961</v>
      </c>
      <c r="P166" s="32">
        <f>Rådatakommune[[#This Row],[B17-O]]/Rådatakommune[[#This Row],[B07-O]]-1</f>
        <v>6.4415259537210723E-2</v>
      </c>
      <c r="Q166" s="32">
        <f>Rådatakommune[[#This Row],[Kvinner20-39-O]]/Rådatakommune[[#This Row],[B17-O]]</f>
        <v>0.11692126909518213</v>
      </c>
      <c r="R166" s="32">
        <f>Rådatakommune[[#This Row],[Eldre67+-O]]/Rådatakommune[[#This Row],[B17-O]]</f>
        <v>0.15804935370152762</v>
      </c>
      <c r="S166" s="32">
        <f>Rådatakommune[[#This Row],[S16-O]]/Rådatakommune[[#This Row],[S06-O]]-1</f>
        <v>0.1776416539050536</v>
      </c>
      <c r="T166" s="32">
        <f>Rådatakommune[[#This Row],[Y16-O]]/Rådatakommune[[#This Row],[Folk20-64-O]]</f>
        <v>0.92811839323467227</v>
      </c>
    </row>
    <row r="167" spans="1:20" x14ac:dyDescent="0.25">
      <c r="A167" s="2" t="s">
        <v>162</v>
      </c>
      <c r="B167" s="2">
        <v>166</v>
      </c>
      <c r="C167" s="35">
        <v>5595</v>
      </c>
      <c r="D167" s="34">
        <v>5988</v>
      </c>
      <c r="E167" s="31">
        <v>2849</v>
      </c>
      <c r="F167" s="36">
        <v>927</v>
      </c>
      <c r="G167" s="37">
        <v>688</v>
      </c>
      <c r="H167">
        <v>3432</v>
      </c>
      <c r="I167" s="31">
        <v>2367</v>
      </c>
      <c r="J167" s="31">
        <v>2244</v>
      </c>
      <c r="K167" s="7">
        <v>963.22</v>
      </c>
      <c r="L167" s="38">
        <v>388000</v>
      </c>
      <c r="M167" s="39">
        <v>231.09375</v>
      </c>
      <c r="N167">
        <v>6</v>
      </c>
      <c r="O167" s="30">
        <f>Rådatakommune[[#This Row],[B17-O]]/Rådatakommune[[#This Row],[Totalareal2017-O]]</f>
        <v>6.2166483254085252</v>
      </c>
      <c r="P167" s="32">
        <f>Rådatakommune[[#This Row],[B17-O]]/Rådatakommune[[#This Row],[B07-O]]-1</f>
        <v>7.0241286863270691E-2</v>
      </c>
      <c r="Q167" s="32">
        <f>Rådatakommune[[#This Row],[Kvinner20-39-O]]/Rådatakommune[[#This Row],[B17-O]]</f>
        <v>0.11489645958583834</v>
      </c>
      <c r="R167" s="32">
        <f>Rådatakommune[[#This Row],[Eldre67+-O]]/Rådatakommune[[#This Row],[B17-O]]</f>
        <v>0.15480961923847694</v>
      </c>
      <c r="S167" s="32">
        <f>Rådatakommune[[#This Row],[S16-O]]/Rådatakommune[[#This Row],[S06-O]]-1</f>
        <v>-5.1964512040557631E-2</v>
      </c>
      <c r="T167" s="32">
        <f>Rådatakommune[[#This Row],[Y16-O]]/Rådatakommune[[#This Row],[Folk20-64-O]]</f>
        <v>0.83012820512820518</v>
      </c>
    </row>
    <row r="168" spans="1:20" x14ac:dyDescent="0.25">
      <c r="A168" s="2" t="s">
        <v>163</v>
      </c>
      <c r="B168" s="2">
        <v>167</v>
      </c>
      <c r="C168" s="35">
        <v>1737</v>
      </c>
      <c r="D168" s="34">
        <v>1836</v>
      </c>
      <c r="E168" s="31">
        <v>931</v>
      </c>
      <c r="F168" s="36">
        <v>321</v>
      </c>
      <c r="G168" s="37">
        <v>223</v>
      </c>
      <c r="H168">
        <v>1024</v>
      </c>
      <c r="I168" s="31">
        <v>1021</v>
      </c>
      <c r="J168" s="31">
        <v>1063</v>
      </c>
      <c r="K168" s="7">
        <v>1554.8300000000002</v>
      </c>
      <c r="L168" s="38">
        <v>449800</v>
      </c>
      <c r="M168" s="39">
        <v>237.875</v>
      </c>
      <c r="N168">
        <v>7</v>
      </c>
      <c r="O168" s="30">
        <f>Rådatakommune[[#This Row],[B17-O]]/Rådatakommune[[#This Row],[Totalareal2017-O]]</f>
        <v>1.1808364901629116</v>
      </c>
      <c r="P168" s="32">
        <f>Rådatakommune[[#This Row],[B17-O]]/Rådatakommune[[#This Row],[B07-O]]-1</f>
        <v>5.6994818652849721E-2</v>
      </c>
      <c r="Q168" s="32">
        <f>Rådatakommune[[#This Row],[Kvinner20-39-O]]/Rådatakommune[[#This Row],[B17-O]]</f>
        <v>0.12145969498910675</v>
      </c>
      <c r="R168" s="32">
        <f>Rådatakommune[[#This Row],[Eldre67+-O]]/Rådatakommune[[#This Row],[B17-O]]</f>
        <v>0.17483660130718953</v>
      </c>
      <c r="S168" s="32">
        <f>Rådatakommune[[#This Row],[S16-O]]/Rådatakommune[[#This Row],[S06-O]]-1</f>
        <v>4.1136141038197849E-2</v>
      </c>
      <c r="T168" s="32">
        <f>Rådatakommune[[#This Row],[Y16-O]]/Rådatakommune[[#This Row],[Folk20-64-O]]</f>
        <v>0.9091796875</v>
      </c>
    </row>
    <row r="169" spans="1:20" x14ac:dyDescent="0.25">
      <c r="A169" s="2" t="s">
        <v>164</v>
      </c>
      <c r="B169" s="2">
        <v>168</v>
      </c>
      <c r="C169" s="35">
        <v>13594</v>
      </c>
      <c r="D169" s="34">
        <v>14899</v>
      </c>
      <c r="E169" s="31">
        <v>7195</v>
      </c>
      <c r="F169" s="36">
        <v>2143</v>
      </c>
      <c r="G169" s="37">
        <v>1742</v>
      </c>
      <c r="H169">
        <v>8537</v>
      </c>
      <c r="I169" s="31">
        <v>6117</v>
      </c>
      <c r="J169" s="31">
        <v>6397</v>
      </c>
      <c r="K169" s="7">
        <v>432.48</v>
      </c>
      <c r="L169" s="38">
        <v>445800</v>
      </c>
      <c r="M169" s="39">
        <v>211.5625</v>
      </c>
      <c r="N169">
        <v>5</v>
      </c>
      <c r="O169" s="30">
        <f>Rådatakommune[[#This Row],[B17-O]]/Rådatakommune[[#This Row],[Totalareal2017-O]]</f>
        <v>34.450147983721791</v>
      </c>
      <c r="P169" s="32">
        <f>Rådatakommune[[#This Row],[B17-O]]/Rådatakommune[[#This Row],[B07-O]]-1</f>
        <v>9.5998234515227265E-2</v>
      </c>
      <c r="Q169" s="32">
        <f>Rådatakommune[[#This Row],[Kvinner20-39-O]]/Rådatakommune[[#This Row],[B17-O]]</f>
        <v>0.11692059869789918</v>
      </c>
      <c r="R169" s="32">
        <f>Rådatakommune[[#This Row],[Eldre67+-O]]/Rådatakommune[[#This Row],[B17-O]]</f>
        <v>0.14383515672192765</v>
      </c>
      <c r="S169" s="32">
        <f>Rådatakommune[[#This Row],[S16-O]]/Rådatakommune[[#This Row],[S06-O]]-1</f>
        <v>4.5774072257642739E-2</v>
      </c>
      <c r="T169" s="32">
        <f>Rådatakommune[[#This Row],[Y16-O]]/Rådatakommune[[#This Row],[Folk20-64-O]]</f>
        <v>0.84280192104954899</v>
      </c>
    </row>
    <row r="170" spans="1:20" x14ac:dyDescent="0.25">
      <c r="A170" s="2" t="s">
        <v>165</v>
      </c>
      <c r="B170" s="2">
        <v>169</v>
      </c>
      <c r="C170" s="35">
        <v>60507</v>
      </c>
      <c r="D170" s="34">
        <v>75497</v>
      </c>
      <c r="E170" s="31">
        <v>37696</v>
      </c>
      <c r="F170" s="36">
        <v>7746</v>
      </c>
      <c r="G170" s="37">
        <v>10798</v>
      </c>
      <c r="H170">
        <v>45617</v>
      </c>
      <c r="I170" s="31">
        <v>30061</v>
      </c>
      <c r="J170" s="31">
        <v>34425</v>
      </c>
      <c r="K170" s="7">
        <v>304.03999999999996</v>
      </c>
      <c r="L170" s="38">
        <v>498300</v>
      </c>
      <c r="M170" s="39">
        <v>162.78125</v>
      </c>
      <c r="N170">
        <v>2</v>
      </c>
      <c r="O170" s="30">
        <f>Rådatakommune[[#This Row],[B17-O]]/Rådatakommune[[#This Row],[Totalareal2017-O]]</f>
        <v>248.31272201026184</v>
      </c>
      <c r="P170" s="32">
        <f>Rådatakommune[[#This Row],[B17-O]]/Rådatakommune[[#This Row],[B07-O]]-1</f>
        <v>0.24773993091708402</v>
      </c>
      <c r="Q170" s="32">
        <f>Rådatakommune[[#This Row],[Kvinner20-39-O]]/Rådatakommune[[#This Row],[B17-O]]</f>
        <v>0.14302555068413314</v>
      </c>
      <c r="R170" s="32">
        <f>Rådatakommune[[#This Row],[Eldre67+-O]]/Rådatakommune[[#This Row],[B17-O]]</f>
        <v>0.10260010331536353</v>
      </c>
      <c r="S170" s="32">
        <f>Rådatakommune[[#This Row],[S16-O]]/Rådatakommune[[#This Row],[S06-O]]-1</f>
        <v>0.14517148464788265</v>
      </c>
      <c r="T170" s="32">
        <f>Rådatakommune[[#This Row],[Y16-O]]/Rådatakommune[[#This Row],[Folk20-64-O]]</f>
        <v>0.82635859438367276</v>
      </c>
    </row>
    <row r="171" spans="1:20" x14ac:dyDescent="0.25">
      <c r="A171" s="2" t="s">
        <v>166</v>
      </c>
      <c r="B171" s="2">
        <v>170</v>
      </c>
      <c r="C171" s="35">
        <v>117315</v>
      </c>
      <c r="D171" s="34">
        <v>132729</v>
      </c>
      <c r="E171" s="31">
        <v>65843</v>
      </c>
      <c r="F171" s="36">
        <v>15321</v>
      </c>
      <c r="G171" s="37">
        <v>19537</v>
      </c>
      <c r="H171">
        <v>82278</v>
      </c>
      <c r="I171" s="31">
        <v>73227</v>
      </c>
      <c r="J171" s="31">
        <v>76000</v>
      </c>
      <c r="K171" s="7">
        <v>71.349999999999994</v>
      </c>
      <c r="L171" s="38">
        <v>552700</v>
      </c>
      <c r="M171" s="39">
        <v>162.34375</v>
      </c>
      <c r="N171">
        <v>2</v>
      </c>
      <c r="O171" s="30">
        <f>Rådatakommune[[#This Row],[B17-O]]/Rådatakommune[[#This Row],[Totalareal2017-O]]</f>
        <v>1860.252277505256</v>
      </c>
      <c r="P171" s="32">
        <f>Rådatakommune[[#This Row],[B17-O]]/Rådatakommune[[#This Row],[B07-O]]-1</f>
        <v>0.13138984784554397</v>
      </c>
      <c r="Q171" s="32">
        <f>Rådatakommune[[#This Row],[Kvinner20-39-O]]/Rådatakommune[[#This Row],[B17-O]]</f>
        <v>0.14719465979552321</v>
      </c>
      <c r="R171" s="32">
        <f>Rådatakommune[[#This Row],[Eldre67+-O]]/Rådatakommune[[#This Row],[B17-O]]</f>
        <v>0.11543068960061478</v>
      </c>
      <c r="S171" s="32">
        <f>Rådatakommune[[#This Row],[S16-O]]/Rådatakommune[[#This Row],[S06-O]]-1</f>
        <v>3.7868545754980998E-2</v>
      </c>
      <c r="T171" s="32">
        <f>Rådatakommune[[#This Row],[Y16-O]]/Rådatakommune[[#This Row],[Folk20-64-O]]</f>
        <v>0.8002503706944748</v>
      </c>
    </row>
    <row r="172" spans="1:20" x14ac:dyDescent="0.25">
      <c r="A172" s="2" t="s">
        <v>167</v>
      </c>
      <c r="B172" s="2">
        <v>171</v>
      </c>
      <c r="C172" s="35">
        <v>32303</v>
      </c>
      <c r="D172" s="34">
        <v>37166</v>
      </c>
      <c r="E172" s="31">
        <v>17718</v>
      </c>
      <c r="F172" s="36">
        <v>5042</v>
      </c>
      <c r="G172" s="37">
        <v>4895</v>
      </c>
      <c r="H172">
        <v>22520</v>
      </c>
      <c r="I172" s="31">
        <v>20152</v>
      </c>
      <c r="J172" s="31">
        <v>20989</v>
      </c>
      <c r="K172" s="7">
        <v>72.67</v>
      </c>
      <c r="L172" s="38">
        <v>431900</v>
      </c>
      <c r="M172" s="39">
        <v>164.03125</v>
      </c>
      <c r="N172">
        <v>4</v>
      </c>
      <c r="O172" s="30">
        <f>Rådatakommune[[#This Row],[B17-O]]/Rådatakommune[[#This Row],[Totalareal2017-O]]</f>
        <v>511.43525526351999</v>
      </c>
      <c r="P172" s="32">
        <f>Rådatakommune[[#This Row],[B17-O]]/Rådatakommune[[#This Row],[B07-O]]-1</f>
        <v>0.15054329319258275</v>
      </c>
      <c r="Q172" s="32">
        <f>Rådatakommune[[#This Row],[Kvinner20-39-O]]/Rådatakommune[[#This Row],[B17-O]]</f>
        <v>0.13170639832104611</v>
      </c>
      <c r="R172" s="32">
        <f>Rådatakommune[[#This Row],[Eldre67+-O]]/Rådatakommune[[#This Row],[B17-O]]</f>
        <v>0.13566162621751063</v>
      </c>
      <c r="S172" s="32">
        <f>Rådatakommune[[#This Row],[S16-O]]/Rådatakommune[[#This Row],[S06-O]]-1</f>
        <v>4.1534339023421962E-2</v>
      </c>
      <c r="T172" s="32">
        <f>Rådatakommune[[#This Row],[Y16-O]]/Rådatakommune[[#This Row],[Folk20-64-O]]</f>
        <v>0.78676731793960919</v>
      </c>
    </row>
    <row r="173" spans="1:20" x14ac:dyDescent="0.25">
      <c r="A173" s="2" t="s">
        <v>168</v>
      </c>
      <c r="B173" s="2">
        <v>172</v>
      </c>
      <c r="C173" s="35">
        <v>3266</v>
      </c>
      <c r="D173" s="34">
        <v>3316</v>
      </c>
      <c r="E173" s="31">
        <v>1542</v>
      </c>
      <c r="F173" s="36">
        <v>550</v>
      </c>
      <c r="G173" s="37">
        <v>374</v>
      </c>
      <c r="H173">
        <v>1829</v>
      </c>
      <c r="I173" s="31">
        <v>1119</v>
      </c>
      <c r="J173" s="31">
        <v>1147</v>
      </c>
      <c r="K173" s="7">
        <v>294.97999999999996</v>
      </c>
      <c r="L173" s="38">
        <v>425000</v>
      </c>
      <c r="M173" s="39">
        <v>226.96875</v>
      </c>
      <c r="N173">
        <v>5</v>
      </c>
      <c r="O173" s="30">
        <f>Rådatakommune[[#This Row],[B17-O]]/Rådatakommune[[#This Row],[Totalareal2017-O]]</f>
        <v>11.24144009763374</v>
      </c>
      <c r="P173" s="32">
        <f>Rådatakommune[[#This Row],[B17-O]]/Rådatakommune[[#This Row],[B07-O]]-1</f>
        <v>1.5309246785058184E-2</v>
      </c>
      <c r="Q173" s="32">
        <f>Rådatakommune[[#This Row],[Kvinner20-39-O]]/Rådatakommune[[#This Row],[B17-O]]</f>
        <v>0.11278648974668275</v>
      </c>
      <c r="R173" s="32">
        <f>Rådatakommune[[#This Row],[Eldre67+-O]]/Rådatakommune[[#This Row],[B17-O]]</f>
        <v>0.16586248492159228</v>
      </c>
      <c r="S173" s="32">
        <f>Rådatakommune[[#This Row],[S16-O]]/Rådatakommune[[#This Row],[S06-O]]-1</f>
        <v>2.5022341376228718E-2</v>
      </c>
      <c r="T173" s="32">
        <f>Rådatakommune[[#This Row],[Y16-O]]/Rådatakommune[[#This Row],[Folk20-64-O]]</f>
        <v>0.84308365226899951</v>
      </c>
    </row>
    <row r="174" spans="1:20" x14ac:dyDescent="0.25">
      <c r="A174" s="2" t="s">
        <v>169</v>
      </c>
      <c r="B174" s="2">
        <v>173</v>
      </c>
      <c r="C174" s="35">
        <v>3120</v>
      </c>
      <c r="D174" s="34">
        <v>3259</v>
      </c>
      <c r="E174" s="31">
        <v>1582</v>
      </c>
      <c r="F174" s="36">
        <v>492</v>
      </c>
      <c r="G174" s="37">
        <v>365</v>
      </c>
      <c r="H174">
        <v>1808</v>
      </c>
      <c r="I174" s="31">
        <v>1527</v>
      </c>
      <c r="J174" s="31">
        <v>1434</v>
      </c>
      <c r="K174" s="7">
        <v>408.42</v>
      </c>
      <c r="L174" s="38">
        <v>387600</v>
      </c>
      <c r="M174" s="39">
        <v>232.09375</v>
      </c>
      <c r="N174">
        <v>6</v>
      </c>
      <c r="O174" s="30">
        <f>Rådatakommune[[#This Row],[B17-O]]/Rådatakommune[[#This Row],[Totalareal2017-O]]</f>
        <v>7.9795308750795746</v>
      </c>
      <c r="P174" s="32">
        <f>Rådatakommune[[#This Row],[B17-O]]/Rådatakommune[[#This Row],[B07-O]]-1</f>
        <v>4.4551282051282115E-2</v>
      </c>
      <c r="Q174" s="32">
        <f>Rådatakommune[[#This Row],[Kvinner20-39-O]]/Rådatakommune[[#This Row],[B17-O]]</f>
        <v>0.11199754525928199</v>
      </c>
      <c r="R174" s="32">
        <f>Rådatakommune[[#This Row],[Eldre67+-O]]/Rådatakommune[[#This Row],[B17-O]]</f>
        <v>0.15096655415771709</v>
      </c>
      <c r="S174" s="32">
        <f>Rådatakommune[[#This Row],[S16-O]]/Rådatakommune[[#This Row],[S06-O]]-1</f>
        <v>-6.0903732809430289E-2</v>
      </c>
      <c r="T174" s="32">
        <f>Rådatakommune[[#This Row],[Y16-O]]/Rådatakommune[[#This Row],[Folk20-64-O]]</f>
        <v>0.875</v>
      </c>
    </row>
    <row r="175" spans="1:20" x14ac:dyDescent="0.25">
      <c r="A175" s="2" t="s">
        <v>170</v>
      </c>
      <c r="B175" s="2">
        <v>174</v>
      </c>
      <c r="C175" s="35">
        <v>2507</v>
      </c>
      <c r="D175" s="34">
        <v>2826</v>
      </c>
      <c r="E175" s="31">
        <v>1510</v>
      </c>
      <c r="F175" s="36">
        <v>334</v>
      </c>
      <c r="G175" s="37">
        <v>330</v>
      </c>
      <c r="H175">
        <v>1597</v>
      </c>
      <c r="I175" s="31">
        <v>1076</v>
      </c>
      <c r="J175" s="31">
        <v>1091</v>
      </c>
      <c r="K175" s="7">
        <v>650.54999999999995</v>
      </c>
      <c r="L175" s="38">
        <v>450300</v>
      </c>
      <c r="M175" s="39">
        <v>191.21875</v>
      </c>
      <c r="N175">
        <v>2</v>
      </c>
      <c r="O175" s="30">
        <f>Rådatakommune[[#This Row],[B17-O]]/Rådatakommune[[#This Row],[Totalareal2017-O]]</f>
        <v>4.34401660133733</v>
      </c>
      <c r="P175" s="32">
        <f>Rådatakommune[[#This Row],[B17-O]]/Rådatakommune[[#This Row],[B07-O]]-1</f>
        <v>0.12724371759074593</v>
      </c>
      <c r="Q175" s="32">
        <f>Rådatakommune[[#This Row],[Kvinner20-39-O]]/Rådatakommune[[#This Row],[B17-O]]</f>
        <v>0.11677282377919321</v>
      </c>
      <c r="R175" s="32">
        <f>Rådatakommune[[#This Row],[Eldre67+-O]]/Rådatakommune[[#This Row],[B17-O]]</f>
        <v>0.11818825194621373</v>
      </c>
      <c r="S175" s="32">
        <f>Rådatakommune[[#This Row],[S16-O]]/Rådatakommune[[#This Row],[S06-O]]-1</f>
        <v>1.3940520446096727E-2</v>
      </c>
      <c r="T175" s="32">
        <f>Rådatakommune[[#This Row],[Y16-O]]/Rådatakommune[[#This Row],[Folk20-64-O]]</f>
        <v>0.94552285535378833</v>
      </c>
    </row>
    <row r="176" spans="1:20" x14ac:dyDescent="0.25">
      <c r="A176" s="2" t="s">
        <v>171</v>
      </c>
      <c r="B176" s="2">
        <v>175</v>
      </c>
      <c r="C176" s="35">
        <v>15072</v>
      </c>
      <c r="D176" s="34">
        <v>18800</v>
      </c>
      <c r="E176" s="31">
        <v>9824</v>
      </c>
      <c r="F176" s="36">
        <v>2117</v>
      </c>
      <c r="G176" s="37">
        <v>2544</v>
      </c>
      <c r="H176">
        <v>10808</v>
      </c>
      <c r="I176" s="31">
        <v>6584</v>
      </c>
      <c r="J176" s="31">
        <v>8018</v>
      </c>
      <c r="K176" s="7">
        <v>257.99</v>
      </c>
      <c r="L176" s="38">
        <v>442100</v>
      </c>
      <c r="M176" s="39">
        <v>187.96875</v>
      </c>
      <c r="N176">
        <v>2</v>
      </c>
      <c r="O176" s="30">
        <f>Rådatakommune[[#This Row],[B17-O]]/Rådatakommune[[#This Row],[Totalareal2017-O]]</f>
        <v>72.871041513236946</v>
      </c>
      <c r="P176" s="32">
        <f>Rådatakommune[[#This Row],[B17-O]]/Rådatakommune[[#This Row],[B07-O]]-1</f>
        <v>0.24734607218683657</v>
      </c>
      <c r="Q176" s="32">
        <f>Rådatakommune[[#This Row],[Kvinner20-39-O]]/Rådatakommune[[#This Row],[B17-O]]</f>
        <v>0.13531914893617022</v>
      </c>
      <c r="R176" s="32">
        <f>Rådatakommune[[#This Row],[Eldre67+-O]]/Rådatakommune[[#This Row],[B17-O]]</f>
        <v>0.1126063829787234</v>
      </c>
      <c r="S176" s="32">
        <f>Rådatakommune[[#This Row],[S16-O]]/Rådatakommune[[#This Row],[S06-O]]-1</f>
        <v>0.21780072904009717</v>
      </c>
      <c r="T176" s="32">
        <f>Rådatakommune[[#This Row],[Y16-O]]/Rådatakommune[[#This Row],[Folk20-64-O]]</f>
        <v>0.90895632864544784</v>
      </c>
    </row>
    <row r="177" spans="1:20" x14ac:dyDescent="0.25">
      <c r="A177" s="2" t="s">
        <v>172</v>
      </c>
      <c r="B177" s="2">
        <v>176</v>
      </c>
      <c r="C177" s="35">
        <v>15271</v>
      </c>
      <c r="D177" s="34">
        <v>19042</v>
      </c>
      <c r="E177" s="31">
        <v>9823</v>
      </c>
      <c r="F177" s="36">
        <v>2127</v>
      </c>
      <c r="G177" s="37">
        <v>2627</v>
      </c>
      <c r="H177">
        <v>11079</v>
      </c>
      <c r="I177" s="31">
        <v>6001</v>
      </c>
      <c r="J177" s="31">
        <v>8050</v>
      </c>
      <c r="K177" s="7">
        <v>113.49</v>
      </c>
      <c r="L177" s="38">
        <v>474700</v>
      </c>
      <c r="M177" s="39">
        <v>170.03125</v>
      </c>
      <c r="N177">
        <v>2</v>
      </c>
      <c r="O177" s="30">
        <f>Rådatakommune[[#This Row],[B17-O]]/Rådatakommune[[#This Row],[Totalareal2017-O]]</f>
        <v>167.78570799189356</v>
      </c>
      <c r="P177" s="32">
        <f>Rådatakommune[[#This Row],[B17-O]]/Rådatakommune[[#This Row],[B07-O]]-1</f>
        <v>0.24693864187021153</v>
      </c>
      <c r="Q177" s="32">
        <f>Rådatakommune[[#This Row],[Kvinner20-39-O]]/Rådatakommune[[#This Row],[B17-O]]</f>
        <v>0.13795819766831216</v>
      </c>
      <c r="R177" s="32">
        <f>Rådatakommune[[#This Row],[Eldre67+-O]]/Rådatakommune[[#This Row],[B17-O]]</f>
        <v>0.11170045163323181</v>
      </c>
      <c r="S177" s="32">
        <f>Rådatakommune[[#This Row],[S16-O]]/Rådatakommune[[#This Row],[S06-O]]-1</f>
        <v>0.34144309281786378</v>
      </c>
      <c r="T177" s="32">
        <f>Rådatakommune[[#This Row],[Y16-O]]/Rådatakommune[[#This Row],[Folk20-64-O]]</f>
        <v>0.88663236754219699</v>
      </c>
    </row>
    <row r="178" spans="1:20" x14ac:dyDescent="0.25">
      <c r="A178" s="2" t="s">
        <v>173</v>
      </c>
      <c r="B178" s="2">
        <v>177</v>
      </c>
      <c r="C178" s="35">
        <v>15048</v>
      </c>
      <c r="D178" s="34">
        <v>18656</v>
      </c>
      <c r="E178" s="31">
        <v>9725</v>
      </c>
      <c r="F178" s="36">
        <v>2110</v>
      </c>
      <c r="G178" s="37">
        <v>2569</v>
      </c>
      <c r="H178">
        <v>10972</v>
      </c>
      <c r="I178" s="31">
        <v>6981</v>
      </c>
      <c r="J178" s="31">
        <v>7475</v>
      </c>
      <c r="K178" s="7">
        <v>183.19</v>
      </c>
      <c r="L178" s="38">
        <v>488000</v>
      </c>
      <c r="M178" s="39">
        <v>174.3125</v>
      </c>
      <c r="N178">
        <v>2</v>
      </c>
      <c r="O178" s="30">
        <f>Rådatakommune[[#This Row],[B17-O]]/Rådatakommune[[#This Row],[Totalareal2017-O]]</f>
        <v>101.83962006659752</v>
      </c>
      <c r="P178" s="32">
        <f>Rådatakommune[[#This Row],[B17-O]]/Rådatakommune[[#This Row],[B07-O]]-1</f>
        <v>0.23976608187134496</v>
      </c>
      <c r="Q178" s="32">
        <f>Rådatakommune[[#This Row],[Kvinner20-39-O]]/Rådatakommune[[#This Row],[B17-O]]</f>
        <v>0.13770368782161235</v>
      </c>
      <c r="R178" s="32">
        <f>Rådatakommune[[#This Row],[Eldre67+-O]]/Rådatakommune[[#This Row],[B17-O]]</f>
        <v>0.11310034305317324</v>
      </c>
      <c r="S178" s="32">
        <f>Rådatakommune[[#This Row],[S16-O]]/Rådatakommune[[#This Row],[S06-O]]-1</f>
        <v>7.0763500931098733E-2</v>
      </c>
      <c r="T178" s="32">
        <f>Rådatakommune[[#This Row],[Y16-O]]/Rådatakommune[[#This Row],[Folk20-64-O]]</f>
        <v>0.8863470652570179</v>
      </c>
    </row>
    <row r="179" spans="1:20" x14ac:dyDescent="0.25">
      <c r="A179" s="2" t="s">
        <v>174</v>
      </c>
      <c r="B179" s="2">
        <v>178</v>
      </c>
      <c r="C179" s="35">
        <v>9621</v>
      </c>
      <c r="D179" s="34">
        <v>11902</v>
      </c>
      <c r="E179" s="31">
        <v>6261</v>
      </c>
      <c r="F179" s="36">
        <v>1041</v>
      </c>
      <c r="G179" s="37">
        <v>1705</v>
      </c>
      <c r="H179">
        <v>7104</v>
      </c>
      <c r="I179" s="31">
        <v>2899</v>
      </c>
      <c r="J179" s="31">
        <v>3851</v>
      </c>
      <c r="K179" s="7">
        <v>617.98</v>
      </c>
      <c r="L179" s="38">
        <v>454800</v>
      </c>
      <c r="M179" s="39">
        <v>173.0625</v>
      </c>
      <c r="N179">
        <v>2</v>
      </c>
      <c r="O179" s="30">
        <f>Rådatakommune[[#This Row],[B17-O]]/Rådatakommune[[#This Row],[Totalareal2017-O]]</f>
        <v>19.25952296190815</v>
      </c>
      <c r="P179" s="32">
        <f>Rådatakommune[[#This Row],[B17-O]]/Rådatakommune[[#This Row],[B07-O]]-1</f>
        <v>0.23708554204344656</v>
      </c>
      <c r="Q179" s="32">
        <f>Rådatakommune[[#This Row],[Kvinner20-39-O]]/Rådatakommune[[#This Row],[B17-O]]</f>
        <v>0.14325323475046212</v>
      </c>
      <c r="R179" s="32">
        <f>Rådatakommune[[#This Row],[Eldre67+-O]]/Rådatakommune[[#This Row],[B17-O]]</f>
        <v>8.7464291715678044E-2</v>
      </c>
      <c r="S179" s="32">
        <f>Rådatakommune[[#This Row],[S16-O]]/Rådatakommune[[#This Row],[S06-O]]-1</f>
        <v>0.32838909968954821</v>
      </c>
      <c r="T179" s="32">
        <f>Rådatakommune[[#This Row],[Y16-O]]/Rådatakommune[[#This Row],[Folk20-64-O]]</f>
        <v>0.88133445945945943</v>
      </c>
    </row>
    <row r="180" spans="1:20" x14ac:dyDescent="0.25">
      <c r="A180" s="2" t="s">
        <v>175</v>
      </c>
      <c r="B180" s="2">
        <v>179</v>
      </c>
      <c r="C180" s="35">
        <v>20666</v>
      </c>
      <c r="D180" s="34">
        <v>26016</v>
      </c>
      <c r="E180" s="31">
        <v>13021</v>
      </c>
      <c r="F180" s="36">
        <v>2744</v>
      </c>
      <c r="G180" s="37">
        <v>3567</v>
      </c>
      <c r="H180">
        <v>15650</v>
      </c>
      <c r="I180" s="31">
        <v>15035</v>
      </c>
      <c r="J180" s="31">
        <v>21963</v>
      </c>
      <c r="K180" s="7">
        <v>69.039999999999992</v>
      </c>
      <c r="L180" s="38">
        <v>571700</v>
      </c>
      <c r="M180" s="39">
        <v>154.625</v>
      </c>
      <c r="N180">
        <v>2</v>
      </c>
      <c r="O180" s="30">
        <f>Rådatakommune[[#This Row],[B17-O]]/Rådatakommune[[#This Row],[Totalareal2017-O]]</f>
        <v>376.82502896871381</v>
      </c>
      <c r="P180" s="32">
        <f>Rådatakommune[[#This Row],[B17-O]]/Rådatakommune[[#This Row],[B07-O]]-1</f>
        <v>0.25887931868769964</v>
      </c>
      <c r="Q180" s="32">
        <f>Rådatakommune[[#This Row],[Kvinner20-39-O]]/Rådatakommune[[#This Row],[B17-O]]</f>
        <v>0.13710793357933579</v>
      </c>
      <c r="R180" s="32">
        <f>Rådatakommune[[#This Row],[Eldre67+-O]]/Rådatakommune[[#This Row],[B17-O]]</f>
        <v>0.10547355473554736</v>
      </c>
      <c r="S180" s="32">
        <f>Rådatakommune[[#This Row],[S16-O]]/Rådatakommune[[#This Row],[S06-O]]-1</f>
        <v>0.46079148653142665</v>
      </c>
      <c r="T180" s="32">
        <f>Rådatakommune[[#This Row],[Y16-O]]/Rådatakommune[[#This Row],[Folk20-64-O]]</f>
        <v>0.83201277955271569</v>
      </c>
    </row>
    <row r="181" spans="1:20" x14ac:dyDescent="0.25">
      <c r="A181" s="2" t="s">
        <v>176</v>
      </c>
      <c r="B181" s="2">
        <v>180</v>
      </c>
      <c r="C181" s="35">
        <v>9501</v>
      </c>
      <c r="D181" s="34">
        <v>10873</v>
      </c>
      <c r="E181" s="31">
        <v>5313</v>
      </c>
      <c r="F181" s="36">
        <v>1283</v>
      </c>
      <c r="G181" s="37">
        <v>1349</v>
      </c>
      <c r="H181">
        <v>6311</v>
      </c>
      <c r="I181" s="31">
        <v>3402</v>
      </c>
      <c r="J181" s="31">
        <v>3322</v>
      </c>
      <c r="K181" s="7">
        <v>24.71</v>
      </c>
      <c r="L181" s="38">
        <v>526300</v>
      </c>
      <c r="M181" s="39">
        <v>167.90625</v>
      </c>
      <c r="N181">
        <v>2</v>
      </c>
      <c r="O181" s="30">
        <f>Rådatakommune[[#This Row],[B17-O]]/Rådatakommune[[#This Row],[Totalareal2017-O]]</f>
        <v>440.02428166734114</v>
      </c>
      <c r="P181" s="32">
        <f>Rådatakommune[[#This Row],[B17-O]]/Rådatakommune[[#This Row],[B07-O]]-1</f>
        <v>0.14440585201557732</v>
      </c>
      <c r="Q181" s="32">
        <f>Rådatakommune[[#This Row],[Kvinner20-39-O]]/Rådatakommune[[#This Row],[B17-O]]</f>
        <v>0.12406879426101353</v>
      </c>
      <c r="R181" s="32">
        <f>Rådatakommune[[#This Row],[Eldre67+-O]]/Rådatakommune[[#This Row],[B17-O]]</f>
        <v>0.11799871240687942</v>
      </c>
      <c r="S181" s="32">
        <f>Rådatakommune[[#This Row],[S16-O]]/Rådatakommune[[#This Row],[S06-O]]-1</f>
        <v>-2.3515579071134662E-2</v>
      </c>
      <c r="T181" s="32">
        <f>Rådatakommune[[#This Row],[Y16-O]]/Rådatakommune[[#This Row],[Folk20-64-O]]</f>
        <v>0.84186341308825863</v>
      </c>
    </row>
    <row r="182" spans="1:20" x14ac:dyDescent="0.25">
      <c r="A182" s="2" t="s">
        <v>177</v>
      </c>
      <c r="B182" s="2">
        <v>181</v>
      </c>
      <c r="C182" s="35">
        <v>1103</v>
      </c>
      <c r="D182" s="34">
        <v>1245</v>
      </c>
      <c r="E182" s="31">
        <v>600</v>
      </c>
      <c r="F182" s="36">
        <v>179</v>
      </c>
      <c r="G182" s="37">
        <v>130</v>
      </c>
      <c r="H182">
        <v>667</v>
      </c>
      <c r="I182" s="31">
        <v>516</v>
      </c>
      <c r="J182" s="31">
        <v>563</v>
      </c>
      <c r="K182" s="7">
        <v>780.06000000000006</v>
      </c>
      <c r="L182" s="38">
        <v>465900</v>
      </c>
      <c r="M182" s="39">
        <v>199.4375</v>
      </c>
      <c r="N182">
        <v>2</v>
      </c>
      <c r="O182" s="30">
        <f>Rådatakommune[[#This Row],[B17-O]]/Rådatakommune[[#This Row],[Totalareal2017-O]]</f>
        <v>1.5960310745327282</v>
      </c>
      <c r="P182" s="32">
        <f>Rådatakommune[[#This Row],[B17-O]]/Rådatakommune[[#This Row],[B07-O]]-1</f>
        <v>0.12873980054397105</v>
      </c>
      <c r="Q182" s="32">
        <f>Rådatakommune[[#This Row],[Kvinner20-39-O]]/Rådatakommune[[#This Row],[B17-O]]</f>
        <v>0.10441767068273092</v>
      </c>
      <c r="R182" s="32">
        <f>Rådatakommune[[#This Row],[Eldre67+-O]]/Rådatakommune[[#This Row],[B17-O]]</f>
        <v>0.14377510040160643</v>
      </c>
      <c r="S182" s="32">
        <f>Rådatakommune[[#This Row],[S16-O]]/Rådatakommune[[#This Row],[S06-O]]-1</f>
        <v>9.1085271317829397E-2</v>
      </c>
      <c r="T182" s="32">
        <f>Rådatakommune[[#This Row],[Y16-O]]/Rådatakommune[[#This Row],[Folk20-64-O]]</f>
        <v>0.8995502248875562</v>
      </c>
    </row>
    <row r="183" spans="1:20" x14ac:dyDescent="0.25">
      <c r="A183" s="2" t="s">
        <v>178</v>
      </c>
      <c r="B183" s="2">
        <v>182</v>
      </c>
      <c r="C183" s="35">
        <v>10654</v>
      </c>
      <c r="D183" s="34">
        <v>12662</v>
      </c>
      <c r="E183" s="31">
        <v>5980</v>
      </c>
      <c r="F183" s="36">
        <v>1654</v>
      </c>
      <c r="G183" s="37">
        <v>1576</v>
      </c>
      <c r="H183">
        <v>7126</v>
      </c>
      <c r="I183" s="31">
        <v>3726</v>
      </c>
      <c r="J183" s="31">
        <v>4146</v>
      </c>
      <c r="K183" s="7">
        <v>218.14000000000001</v>
      </c>
      <c r="L183" s="38">
        <v>447800</v>
      </c>
      <c r="M183" s="39">
        <v>211.125</v>
      </c>
      <c r="N183">
        <v>2</v>
      </c>
      <c r="O183" s="30">
        <f>Rådatakommune[[#This Row],[B17-O]]/Rådatakommune[[#This Row],[Totalareal2017-O]]</f>
        <v>58.045292014302738</v>
      </c>
      <c r="P183" s="32">
        <f>Rådatakommune[[#This Row],[B17-O]]/Rådatakommune[[#This Row],[B07-O]]-1</f>
        <v>0.18847381265252494</v>
      </c>
      <c r="Q183" s="32">
        <f>Rådatakommune[[#This Row],[Kvinner20-39-O]]/Rådatakommune[[#This Row],[B17-O]]</f>
        <v>0.12446690886115938</v>
      </c>
      <c r="R183" s="32">
        <f>Rådatakommune[[#This Row],[Eldre67+-O]]/Rådatakommune[[#This Row],[B17-O]]</f>
        <v>0.13062707313220659</v>
      </c>
      <c r="S183" s="32">
        <f>Rådatakommune[[#This Row],[S16-O]]/Rådatakommune[[#This Row],[S06-O]]-1</f>
        <v>0.11272141706924321</v>
      </c>
      <c r="T183" s="32">
        <f>Rådatakommune[[#This Row],[Y16-O]]/Rådatakommune[[#This Row],[Folk20-64-O]]</f>
        <v>0.83918046589952289</v>
      </c>
    </row>
    <row r="184" spans="1:20" x14ac:dyDescent="0.25">
      <c r="A184" s="2" t="s">
        <v>179</v>
      </c>
      <c r="B184" s="2">
        <v>183</v>
      </c>
      <c r="C184" s="35">
        <v>2707</v>
      </c>
      <c r="D184" s="34">
        <v>2708</v>
      </c>
      <c r="E184" s="31">
        <v>1374</v>
      </c>
      <c r="F184" s="36">
        <v>470</v>
      </c>
      <c r="G184" s="37">
        <v>281</v>
      </c>
      <c r="H184">
        <v>1418</v>
      </c>
      <c r="I184" s="31">
        <v>1469</v>
      </c>
      <c r="J184" s="31">
        <v>1270</v>
      </c>
      <c r="K184" s="7">
        <v>1088.82</v>
      </c>
      <c r="L184" s="38">
        <v>448800</v>
      </c>
      <c r="M184" s="39">
        <v>254.15625</v>
      </c>
      <c r="N184">
        <v>11</v>
      </c>
      <c r="O184" s="30">
        <f>Rådatakommune[[#This Row],[B17-O]]/Rådatakommune[[#This Row],[Totalareal2017-O]]</f>
        <v>2.4870961224077441</v>
      </c>
      <c r="P184" s="32">
        <f>Rådatakommune[[#This Row],[B17-O]]/Rådatakommune[[#This Row],[B07-O]]-1</f>
        <v>3.6941263391199186E-4</v>
      </c>
      <c r="Q184" s="32">
        <f>Rådatakommune[[#This Row],[Kvinner20-39-O]]/Rådatakommune[[#This Row],[B17-O]]</f>
        <v>0.10376661742983752</v>
      </c>
      <c r="R184" s="32">
        <f>Rådatakommune[[#This Row],[Eldre67+-O]]/Rådatakommune[[#This Row],[B17-O]]</f>
        <v>0.17355982274741508</v>
      </c>
      <c r="S184" s="32">
        <f>Rådatakommune[[#This Row],[S16-O]]/Rådatakommune[[#This Row],[S06-O]]-1</f>
        <v>-0.13546630360789658</v>
      </c>
      <c r="T184" s="32">
        <f>Rådatakommune[[#This Row],[Y16-O]]/Rådatakommune[[#This Row],[Folk20-64-O]]</f>
        <v>0.96897038081805364</v>
      </c>
    </row>
    <row r="185" spans="1:20" x14ac:dyDescent="0.25">
      <c r="A185" s="2" t="s">
        <v>180</v>
      </c>
      <c r="B185" s="2">
        <v>184</v>
      </c>
      <c r="C185" s="35">
        <v>3874</v>
      </c>
      <c r="D185" s="34">
        <v>3853</v>
      </c>
      <c r="E185" s="31">
        <v>1989</v>
      </c>
      <c r="F185" s="36">
        <v>676</v>
      </c>
      <c r="G185" s="37">
        <v>413</v>
      </c>
      <c r="H185">
        <v>2087</v>
      </c>
      <c r="I185" s="31">
        <v>1830</v>
      </c>
      <c r="J185" s="31">
        <v>2200</v>
      </c>
      <c r="K185" s="7">
        <v>1736.8899999999999</v>
      </c>
      <c r="L185" s="38">
        <v>409900</v>
      </c>
      <c r="M185" s="39">
        <v>252.125</v>
      </c>
      <c r="N185">
        <v>10</v>
      </c>
      <c r="O185" s="30">
        <f>Rådatakommune[[#This Row],[B17-O]]/Rådatakommune[[#This Row],[Totalareal2017-O]]</f>
        <v>2.2183327671873294</v>
      </c>
      <c r="P185" s="32">
        <f>Rådatakommune[[#This Row],[B17-O]]/Rådatakommune[[#This Row],[B07-O]]-1</f>
        <v>-5.4207537429014074E-3</v>
      </c>
      <c r="Q185" s="32">
        <f>Rådatakommune[[#This Row],[Kvinner20-39-O]]/Rådatakommune[[#This Row],[B17-O]]</f>
        <v>0.10718920321827148</v>
      </c>
      <c r="R185" s="32">
        <f>Rådatakommune[[#This Row],[Eldre67+-O]]/Rådatakommune[[#This Row],[B17-O]]</f>
        <v>0.17544770308850247</v>
      </c>
      <c r="S185" s="32">
        <f>Rådatakommune[[#This Row],[S16-O]]/Rådatakommune[[#This Row],[S06-O]]-1</f>
        <v>0.20218579234972678</v>
      </c>
      <c r="T185" s="32">
        <f>Rådatakommune[[#This Row],[Y16-O]]/Rådatakommune[[#This Row],[Folk20-64-O]]</f>
        <v>0.95304264494489699</v>
      </c>
    </row>
    <row r="186" spans="1:20" x14ac:dyDescent="0.25">
      <c r="A186" s="2" t="s">
        <v>181</v>
      </c>
      <c r="B186" s="2">
        <v>185</v>
      </c>
      <c r="C186" s="35">
        <v>4732</v>
      </c>
      <c r="D186" s="34">
        <v>4760</v>
      </c>
      <c r="E186" s="31">
        <v>2220</v>
      </c>
      <c r="F186" s="36">
        <v>863</v>
      </c>
      <c r="G186" s="37">
        <v>544</v>
      </c>
      <c r="H186">
        <v>2634</v>
      </c>
      <c r="I186" s="31">
        <v>2036</v>
      </c>
      <c r="J186" s="31">
        <v>1933</v>
      </c>
      <c r="K186" s="7">
        <v>546.32000000000005</v>
      </c>
      <c r="L186" s="38">
        <v>411100</v>
      </c>
      <c r="M186" s="39">
        <v>250.375</v>
      </c>
      <c r="N186">
        <v>9</v>
      </c>
      <c r="O186" s="30">
        <f>Rådatakommune[[#This Row],[B17-O]]/Rådatakommune[[#This Row],[Totalareal2017-O]]</f>
        <v>8.71284229023283</v>
      </c>
      <c r="P186" s="32">
        <f>Rådatakommune[[#This Row],[B17-O]]/Rådatakommune[[#This Row],[B07-O]]-1</f>
        <v>5.9171597633136397E-3</v>
      </c>
      <c r="Q186" s="32">
        <f>Rådatakommune[[#This Row],[Kvinner20-39-O]]/Rådatakommune[[#This Row],[B17-O]]</f>
        <v>0.11428571428571428</v>
      </c>
      <c r="R186" s="32">
        <f>Rådatakommune[[#This Row],[Eldre67+-O]]/Rådatakommune[[#This Row],[B17-O]]</f>
        <v>0.18130252100840336</v>
      </c>
      <c r="S186" s="32">
        <f>Rådatakommune[[#This Row],[S16-O]]/Rådatakommune[[#This Row],[S06-O]]-1</f>
        <v>-5.0589390962671898E-2</v>
      </c>
      <c r="T186" s="32">
        <f>Rådatakommune[[#This Row],[Y16-O]]/Rådatakommune[[#This Row],[Folk20-64-O]]</f>
        <v>0.84282460136674264</v>
      </c>
    </row>
    <row r="187" spans="1:20" x14ac:dyDescent="0.25">
      <c r="A187" s="2" t="s">
        <v>182</v>
      </c>
      <c r="B187" s="2">
        <v>186</v>
      </c>
      <c r="C187" s="35">
        <v>2672</v>
      </c>
      <c r="D187" s="34">
        <v>3235</v>
      </c>
      <c r="E187" s="31">
        <v>1711</v>
      </c>
      <c r="F187" s="36">
        <v>466</v>
      </c>
      <c r="G187" s="37">
        <v>403</v>
      </c>
      <c r="H187">
        <v>1848</v>
      </c>
      <c r="I187" s="31">
        <v>1311</v>
      </c>
      <c r="J187" s="31">
        <v>1380</v>
      </c>
      <c r="K187" s="7">
        <v>104.39</v>
      </c>
      <c r="L187" s="38">
        <v>455800</v>
      </c>
      <c r="M187" s="39">
        <v>194.21875</v>
      </c>
      <c r="N187">
        <v>2</v>
      </c>
      <c r="O187" s="30">
        <f>Rådatakommune[[#This Row],[B17-O]]/Rådatakommune[[#This Row],[Totalareal2017-O]]</f>
        <v>30.989558386818661</v>
      </c>
      <c r="P187" s="32">
        <f>Rådatakommune[[#This Row],[B17-O]]/Rådatakommune[[#This Row],[B07-O]]-1</f>
        <v>0.21070359281437123</v>
      </c>
      <c r="Q187" s="32">
        <f>Rådatakommune[[#This Row],[Kvinner20-39-O]]/Rådatakommune[[#This Row],[B17-O]]</f>
        <v>0.12457496136012365</v>
      </c>
      <c r="R187" s="32">
        <f>Rådatakommune[[#This Row],[Eldre67+-O]]/Rådatakommune[[#This Row],[B17-O]]</f>
        <v>0.14404945904173105</v>
      </c>
      <c r="S187" s="32">
        <f>Rådatakommune[[#This Row],[S16-O]]/Rådatakommune[[#This Row],[S06-O]]-1</f>
        <v>5.2631578947368363E-2</v>
      </c>
      <c r="T187" s="32">
        <f>Rådatakommune[[#This Row],[Y16-O]]/Rådatakommune[[#This Row],[Folk20-64-O]]</f>
        <v>0.92586580086580084</v>
      </c>
    </row>
    <row r="188" spans="1:20" x14ac:dyDescent="0.25">
      <c r="A188" s="2" t="s">
        <v>183</v>
      </c>
      <c r="B188" s="2">
        <v>187</v>
      </c>
      <c r="C188" s="35">
        <v>3526</v>
      </c>
      <c r="D188" s="34">
        <v>4892</v>
      </c>
      <c r="E188" s="31">
        <v>2510</v>
      </c>
      <c r="F188" s="36">
        <v>500</v>
      </c>
      <c r="G188" s="37">
        <v>595</v>
      </c>
      <c r="H188">
        <v>2838</v>
      </c>
      <c r="I188" s="31">
        <v>991</v>
      </c>
      <c r="J188" s="31">
        <v>1182</v>
      </c>
      <c r="K188" s="7">
        <v>65.510000000000005</v>
      </c>
      <c r="L188" s="38">
        <v>521600</v>
      </c>
      <c r="M188" s="39">
        <v>181.59375</v>
      </c>
      <c r="N188">
        <v>2</v>
      </c>
      <c r="O188" s="30">
        <f>Rådatakommune[[#This Row],[B17-O]]/Rådatakommune[[#This Row],[Totalareal2017-O]]</f>
        <v>74.67562204243626</v>
      </c>
      <c r="P188" s="32">
        <f>Rådatakommune[[#This Row],[B17-O]]/Rådatakommune[[#This Row],[B07-O]]-1</f>
        <v>0.38740782756664771</v>
      </c>
      <c r="Q188" s="32">
        <f>Rådatakommune[[#This Row],[Kvinner20-39-O]]/Rådatakommune[[#This Row],[B17-O]]</f>
        <v>0.12162714636140638</v>
      </c>
      <c r="R188" s="32">
        <f>Rådatakommune[[#This Row],[Eldre67+-O]]/Rådatakommune[[#This Row],[B17-O]]</f>
        <v>0.10220768601798855</v>
      </c>
      <c r="S188" s="32">
        <f>Rådatakommune[[#This Row],[S16-O]]/Rådatakommune[[#This Row],[S06-O]]-1</f>
        <v>0.19273461150353177</v>
      </c>
      <c r="T188" s="32">
        <f>Rådatakommune[[#This Row],[Y16-O]]/Rådatakommune[[#This Row],[Folk20-64-O]]</f>
        <v>0.88442565186751232</v>
      </c>
    </row>
    <row r="189" spans="1:20" x14ac:dyDescent="0.25">
      <c r="A189" s="2" t="s">
        <v>184</v>
      </c>
      <c r="B189" s="2">
        <v>188</v>
      </c>
      <c r="C189" s="35">
        <v>527</v>
      </c>
      <c r="D189" s="34">
        <v>534</v>
      </c>
      <c r="E189" s="31">
        <v>270</v>
      </c>
      <c r="F189" s="36">
        <v>106</v>
      </c>
      <c r="G189" s="37">
        <v>56</v>
      </c>
      <c r="H189">
        <v>290</v>
      </c>
      <c r="I189" s="31">
        <v>269</v>
      </c>
      <c r="J189" s="31">
        <v>312</v>
      </c>
      <c r="K189" s="7">
        <v>6.29</v>
      </c>
      <c r="L189" s="38">
        <v>436100</v>
      </c>
      <c r="M189" s="39">
        <v>230.4375</v>
      </c>
      <c r="N189">
        <v>2</v>
      </c>
      <c r="O189" s="30">
        <f>Rådatakommune[[#This Row],[B17-O]]/Rådatakommune[[#This Row],[Totalareal2017-O]]</f>
        <v>84.896661367249607</v>
      </c>
      <c r="P189" s="32">
        <f>Rådatakommune[[#This Row],[B17-O]]/Rådatakommune[[#This Row],[B07-O]]-1</f>
        <v>1.3282732447817747E-2</v>
      </c>
      <c r="Q189" s="32">
        <f>Rådatakommune[[#This Row],[Kvinner20-39-O]]/Rådatakommune[[#This Row],[B17-O]]</f>
        <v>0.10486891385767791</v>
      </c>
      <c r="R189" s="32">
        <f>Rådatakommune[[#This Row],[Eldre67+-O]]/Rådatakommune[[#This Row],[B17-O]]</f>
        <v>0.19850187265917604</v>
      </c>
      <c r="S189" s="32">
        <f>Rådatakommune[[#This Row],[S16-O]]/Rådatakommune[[#This Row],[S06-O]]-1</f>
        <v>0.1598513011152416</v>
      </c>
      <c r="T189" s="32">
        <f>Rådatakommune[[#This Row],[Y16-O]]/Rådatakommune[[#This Row],[Folk20-64-O]]</f>
        <v>0.93103448275862066</v>
      </c>
    </row>
    <row r="190" spans="1:20" x14ac:dyDescent="0.25">
      <c r="A190" s="2" t="s">
        <v>185</v>
      </c>
      <c r="B190" s="2">
        <v>189</v>
      </c>
      <c r="C190" s="35">
        <v>793</v>
      </c>
      <c r="D190" s="34">
        <v>855</v>
      </c>
      <c r="E190" s="31">
        <v>417</v>
      </c>
      <c r="F190" s="36">
        <v>152</v>
      </c>
      <c r="G190" s="37">
        <v>91</v>
      </c>
      <c r="H190">
        <v>463</v>
      </c>
      <c r="I190" s="31">
        <v>296</v>
      </c>
      <c r="J190" s="31">
        <v>291</v>
      </c>
      <c r="K190" s="7">
        <v>47.160000000000004</v>
      </c>
      <c r="L190" s="38">
        <v>421400</v>
      </c>
      <c r="M190" s="39">
        <v>178.03125</v>
      </c>
      <c r="N190">
        <v>4</v>
      </c>
      <c r="O190" s="30">
        <f>Rådatakommune[[#This Row],[B17-O]]/Rådatakommune[[#This Row],[Totalareal2017-O]]</f>
        <v>18.12977099236641</v>
      </c>
      <c r="P190" s="32">
        <f>Rådatakommune[[#This Row],[B17-O]]/Rådatakommune[[#This Row],[B07-O]]-1</f>
        <v>7.8184110970996201E-2</v>
      </c>
      <c r="Q190" s="32">
        <f>Rådatakommune[[#This Row],[Kvinner20-39-O]]/Rådatakommune[[#This Row],[B17-O]]</f>
        <v>0.1064327485380117</v>
      </c>
      <c r="R190" s="32">
        <f>Rådatakommune[[#This Row],[Eldre67+-O]]/Rådatakommune[[#This Row],[B17-O]]</f>
        <v>0.17777777777777778</v>
      </c>
      <c r="S190" s="32">
        <f>Rådatakommune[[#This Row],[S16-O]]/Rådatakommune[[#This Row],[S06-O]]-1</f>
        <v>-1.6891891891891886E-2</v>
      </c>
      <c r="T190" s="32">
        <f>Rådatakommune[[#This Row],[Y16-O]]/Rådatakommune[[#This Row],[Folk20-64-O]]</f>
        <v>0.90064794816414684</v>
      </c>
    </row>
    <row r="191" spans="1:20" x14ac:dyDescent="0.25">
      <c r="A191" s="2" t="s">
        <v>186</v>
      </c>
      <c r="B191" s="2">
        <v>190</v>
      </c>
      <c r="C191" s="35">
        <v>9513</v>
      </c>
      <c r="D191" s="34">
        <v>11041</v>
      </c>
      <c r="E191" s="31">
        <v>5373</v>
      </c>
      <c r="F191" s="36">
        <v>1456</v>
      </c>
      <c r="G191" s="37">
        <v>1380</v>
      </c>
      <c r="H191">
        <v>6104</v>
      </c>
      <c r="I191" s="31">
        <v>3857</v>
      </c>
      <c r="J191" s="31">
        <v>4275</v>
      </c>
      <c r="K191" s="7">
        <v>425.40999999999997</v>
      </c>
      <c r="L191" s="38">
        <v>429800</v>
      </c>
      <c r="M191" s="39">
        <v>169.5625</v>
      </c>
      <c r="N191">
        <v>4</v>
      </c>
      <c r="O191" s="30">
        <f>Rådatakommune[[#This Row],[B17-O]]/Rådatakommune[[#This Row],[Totalareal2017-O]]</f>
        <v>25.953785759620132</v>
      </c>
      <c r="P191" s="32">
        <f>Rådatakommune[[#This Row],[B17-O]]/Rådatakommune[[#This Row],[B07-O]]-1</f>
        <v>0.1606223063176706</v>
      </c>
      <c r="Q191" s="32">
        <f>Rådatakommune[[#This Row],[Kvinner20-39-O]]/Rådatakommune[[#This Row],[B17-O]]</f>
        <v>0.12498867856172448</v>
      </c>
      <c r="R191" s="32">
        <f>Rådatakommune[[#This Row],[Eldre67+-O]]/Rådatakommune[[#This Row],[B17-O]]</f>
        <v>0.13187211303323973</v>
      </c>
      <c r="S191" s="32">
        <f>Rådatakommune[[#This Row],[S16-O]]/Rådatakommune[[#This Row],[S06-O]]-1</f>
        <v>0.10837438423645329</v>
      </c>
      <c r="T191" s="32">
        <f>Rådatakommune[[#This Row],[Y16-O]]/Rådatakommune[[#This Row],[Folk20-64-O]]</f>
        <v>0.88024246395806027</v>
      </c>
    </row>
    <row r="192" spans="1:20" x14ac:dyDescent="0.25">
      <c r="A192" s="2" t="s">
        <v>187</v>
      </c>
      <c r="B192" s="2">
        <v>191</v>
      </c>
      <c r="C192" s="35">
        <v>38349</v>
      </c>
      <c r="D192" s="34">
        <v>42229</v>
      </c>
      <c r="E192" s="31">
        <v>19605</v>
      </c>
      <c r="F192" s="36">
        <v>5899</v>
      </c>
      <c r="G192" s="37">
        <v>5197</v>
      </c>
      <c r="H192">
        <v>24117</v>
      </c>
      <c r="I192" s="31">
        <v>14308</v>
      </c>
      <c r="J192" s="31">
        <v>15126</v>
      </c>
      <c r="K192" s="7">
        <v>229.95</v>
      </c>
      <c r="L192" s="38">
        <v>424800</v>
      </c>
      <c r="M192" s="39">
        <v>161.15625</v>
      </c>
      <c r="N192">
        <v>4</v>
      </c>
      <c r="O192" s="30">
        <f>Rådatakommune[[#This Row],[B17-O]]/Rådatakommune[[#This Row],[Totalareal2017-O]]</f>
        <v>183.64427049358557</v>
      </c>
      <c r="P192" s="32">
        <f>Rådatakommune[[#This Row],[B17-O]]/Rådatakommune[[#This Row],[B07-O]]-1</f>
        <v>0.10117604109624767</v>
      </c>
      <c r="Q192" s="32">
        <f>Rådatakommune[[#This Row],[Kvinner20-39-O]]/Rådatakommune[[#This Row],[B17-O]]</f>
        <v>0.12306708659925643</v>
      </c>
      <c r="R192" s="32">
        <f>Rådatakommune[[#This Row],[Eldre67+-O]]/Rådatakommune[[#This Row],[B17-O]]</f>
        <v>0.13969073385588102</v>
      </c>
      <c r="S192" s="32">
        <f>Rådatakommune[[#This Row],[S16-O]]/Rådatakommune[[#This Row],[S06-O]]-1</f>
        <v>5.7170813530891706E-2</v>
      </c>
      <c r="T192" s="32">
        <f>Rådatakommune[[#This Row],[Y16-O]]/Rådatakommune[[#This Row],[Folk20-64-O]]</f>
        <v>0.81291205373802711</v>
      </c>
    </row>
    <row r="193" spans="1:20" x14ac:dyDescent="0.25">
      <c r="A193" s="2" t="s">
        <v>188</v>
      </c>
      <c r="B193" s="2">
        <v>192</v>
      </c>
      <c r="C193" s="35">
        <v>214</v>
      </c>
      <c r="D193" s="34">
        <v>201</v>
      </c>
      <c r="E193" s="31">
        <v>109</v>
      </c>
      <c r="F193" s="36">
        <v>31</v>
      </c>
      <c r="G193" s="37">
        <v>27</v>
      </c>
      <c r="H193">
        <v>113</v>
      </c>
      <c r="I193" s="31">
        <v>109</v>
      </c>
      <c r="J193" s="31">
        <v>94</v>
      </c>
      <c r="K193" s="7">
        <v>6.33</v>
      </c>
      <c r="L193" s="38">
        <v>426600</v>
      </c>
      <c r="M193" s="39">
        <v>278.8125</v>
      </c>
      <c r="N193">
        <v>11</v>
      </c>
      <c r="O193" s="30">
        <f>Rådatakommune[[#This Row],[B17-O]]/Rådatakommune[[#This Row],[Totalareal2017-O]]</f>
        <v>31.753554502369667</v>
      </c>
      <c r="P193" s="32">
        <f>Rådatakommune[[#This Row],[B17-O]]/Rådatakommune[[#This Row],[B07-O]]-1</f>
        <v>-6.074766355140182E-2</v>
      </c>
      <c r="Q193" s="32">
        <f>Rådatakommune[[#This Row],[Kvinner20-39-O]]/Rådatakommune[[#This Row],[B17-O]]</f>
        <v>0.13432835820895522</v>
      </c>
      <c r="R193" s="32">
        <f>Rådatakommune[[#This Row],[Eldre67+-O]]/Rådatakommune[[#This Row],[B17-O]]</f>
        <v>0.15422885572139303</v>
      </c>
      <c r="S193" s="32">
        <f>Rådatakommune[[#This Row],[S16-O]]/Rådatakommune[[#This Row],[S06-O]]-1</f>
        <v>-0.13761467889908252</v>
      </c>
      <c r="T193" s="32">
        <f>Rådatakommune[[#This Row],[Y16-O]]/Rådatakommune[[#This Row],[Folk20-64-O]]</f>
        <v>0.96460176991150437</v>
      </c>
    </row>
    <row r="194" spans="1:20" x14ac:dyDescent="0.25">
      <c r="A194" s="2" t="s">
        <v>189</v>
      </c>
      <c r="B194" s="2">
        <v>193</v>
      </c>
      <c r="C194" s="35">
        <v>8111</v>
      </c>
      <c r="D194" s="34">
        <v>8828</v>
      </c>
      <c r="E194" s="31">
        <v>4523</v>
      </c>
      <c r="F194" s="36">
        <v>1317</v>
      </c>
      <c r="G194" s="37">
        <v>1004</v>
      </c>
      <c r="H194">
        <v>5003</v>
      </c>
      <c r="I194" s="40">
        <v>4107</v>
      </c>
      <c r="J194" s="31">
        <v>4879</v>
      </c>
      <c r="K194" s="7">
        <v>620.59</v>
      </c>
      <c r="L194" s="38">
        <v>440000</v>
      </c>
      <c r="M194" s="39">
        <v>199.21875</v>
      </c>
      <c r="N194">
        <v>4</v>
      </c>
      <c r="O194" s="30">
        <f>Rådatakommune[[#This Row],[B17-O]]/Rådatakommune[[#This Row],[Totalareal2017-O]]</f>
        <v>14.225172819413784</v>
      </c>
      <c r="P194" s="32">
        <f>Rådatakommune[[#This Row],[B17-O]]/Rådatakommune[[#This Row],[B07-O]]-1</f>
        <v>8.8398471211934337E-2</v>
      </c>
      <c r="Q194" s="32">
        <f>Rådatakommune[[#This Row],[Kvinner20-39-O]]/Rådatakommune[[#This Row],[B17-O]]</f>
        <v>0.1137290439510648</v>
      </c>
      <c r="R194" s="32">
        <f>Rådatakommune[[#This Row],[Eldre67+-O]]/Rådatakommune[[#This Row],[B17-O]]</f>
        <v>0.14918441323062981</v>
      </c>
      <c r="S194" s="32">
        <f>Rådatakommune[[#This Row],[S16-O]]/Rådatakommune[[#This Row],[S06-O]]-1</f>
        <v>0.18797175553932322</v>
      </c>
      <c r="T194" s="32">
        <f>Rådatakommune[[#This Row],[Y16-O]]/Rådatakommune[[#This Row],[Folk20-64-O]]</f>
        <v>0.90405756546072358</v>
      </c>
    </row>
    <row r="195" spans="1:20" x14ac:dyDescent="0.25">
      <c r="A195" s="2" t="s">
        <v>190</v>
      </c>
      <c r="B195" s="2">
        <v>194</v>
      </c>
      <c r="C195" s="35">
        <v>244620</v>
      </c>
      <c r="D195" s="34">
        <v>278556</v>
      </c>
      <c r="E195" s="31">
        <v>141039</v>
      </c>
      <c r="F195" s="36">
        <v>36883</v>
      </c>
      <c r="G195" s="37">
        <v>42123</v>
      </c>
      <c r="H195">
        <v>173286</v>
      </c>
      <c r="I195" s="31">
        <v>146515</v>
      </c>
      <c r="J195" s="31">
        <v>160531</v>
      </c>
      <c r="K195" s="7">
        <v>464.7</v>
      </c>
      <c r="L195" s="38">
        <v>462600</v>
      </c>
      <c r="M195" s="39">
        <v>166.28125</v>
      </c>
      <c r="N195">
        <v>1</v>
      </c>
      <c r="O195" s="30">
        <f>Rådatakommune[[#This Row],[B17-O]]/Rådatakommune[[#This Row],[Totalareal2017-O]]</f>
        <v>599.43189154293088</v>
      </c>
      <c r="P195" s="32">
        <f>Rådatakommune[[#This Row],[B17-O]]/Rådatakommune[[#This Row],[B07-O]]-1</f>
        <v>0.138729457934756</v>
      </c>
      <c r="Q195" s="32">
        <f>Rådatakommune[[#This Row],[Kvinner20-39-O]]/Rådatakommune[[#This Row],[B17-O]]</f>
        <v>0.1512191444449231</v>
      </c>
      <c r="R195" s="32">
        <f>Rådatakommune[[#This Row],[Eldre67+-O]]/Rådatakommune[[#This Row],[B17-O]]</f>
        <v>0.1324078461781473</v>
      </c>
      <c r="S195" s="32">
        <f>Rådatakommune[[#This Row],[S16-O]]/Rådatakommune[[#This Row],[S06-O]]-1</f>
        <v>9.5662560147425246E-2</v>
      </c>
      <c r="T195" s="32">
        <f>Rådatakommune[[#This Row],[Y16-O]]/Rådatakommune[[#This Row],[Folk20-64-O]]</f>
        <v>0.8139087981718085</v>
      </c>
    </row>
    <row r="196" spans="1:20" x14ac:dyDescent="0.25">
      <c r="A196" s="2" t="s">
        <v>191</v>
      </c>
      <c r="B196" s="2">
        <v>195</v>
      </c>
      <c r="C196" s="35">
        <v>3858</v>
      </c>
      <c r="D196" s="34">
        <v>4135</v>
      </c>
      <c r="E196" s="31">
        <v>2053</v>
      </c>
      <c r="F196" s="36">
        <v>681</v>
      </c>
      <c r="G196" s="37">
        <v>448</v>
      </c>
      <c r="H196">
        <v>2295</v>
      </c>
      <c r="I196" s="31">
        <v>1597</v>
      </c>
      <c r="J196" s="31">
        <v>1661</v>
      </c>
      <c r="K196" s="7">
        <v>735.28</v>
      </c>
      <c r="L196" s="38">
        <v>415100</v>
      </c>
      <c r="M196" s="39">
        <v>210.3125</v>
      </c>
      <c r="N196">
        <v>8</v>
      </c>
      <c r="O196" s="30">
        <f>Rådatakommune[[#This Row],[B17-O]]/Rådatakommune[[#This Row],[Totalareal2017-O]]</f>
        <v>5.623707975193124</v>
      </c>
      <c r="P196" s="32">
        <f>Rådatakommune[[#This Row],[B17-O]]/Rådatakommune[[#This Row],[B07-O]]-1</f>
        <v>7.1798859512700819E-2</v>
      </c>
      <c r="Q196" s="32">
        <f>Rådatakommune[[#This Row],[Kvinner20-39-O]]/Rådatakommune[[#This Row],[B17-O]]</f>
        <v>0.10834340991535671</v>
      </c>
      <c r="R196" s="32">
        <f>Rådatakommune[[#This Row],[Eldre67+-O]]/Rådatakommune[[#This Row],[B17-O]]</f>
        <v>0.16469165659008464</v>
      </c>
      <c r="S196" s="32">
        <f>Rådatakommune[[#This Row],[S16-O]]/Rådatakommune[[#This Row],[S06-O]]-1</f>
        <v>4.0075140889167082E-2</v>
      </c>
      <c r="T196" s="32">
        <f>Rådatakommune[[#This Row],[Y16-O]]/Rådatakommune[[#This Row],[Folk20-64-O]]</f>
        <v>0.89455337690631809</v>
      </c>
    </row>
    <row r="197" spans="1:20" x14ac:dyDescent="0.25">
      <c r="A197" s="2" t="s">
        <v>192</v>
      </c>
      <c r="B197" s="2">
        <v>196</v>
      </c>
      <c r="C197" s="35">
        <v>4764</v>
      </c>
      <c r="D197" s="34">
        <v>5656</v>
      </c>
      <c r="E197" s="31">
        <v>2720</v>
      </c>
      <c r="F197" s="36">
        <v>743</v>
      </c>
      <c r="G197" s="37">
        <v>662</v>
      </c>
      <c r="H197">
        <v>3147</v>
      </c>
      <c r="I197" s="31">
        <v>1157</v>
      </c>
      <c r="J197" s="31">
        <v>1469</v>
      </c>
      <c r="K197" s="7">
        <v>246.14</v>
      </c>
      <c r="L197" s="38">
        <v>426100</v>
      </c>
      <c r="M197" s="39">
        <v>180.15625</v>
      </c>
      <c r="N197">
        <v>4</v>
      </c>
      <c r="O197" s="30">
        <f>Rådatakommune[[#This Row],[B17-O]]/Rådatakommune[[#This Row],[Totalareal2017-O]]</f>
        <v>22.978792557081338</v>
      </c>
      <c r="P197" s="32">
        <f>Rådatakommune[[#This Row],[B17-O]]/Rådatakommune[[#This Row],[B07-O]]-1</f>
        <v>0.18723761544920237</v>
      </c>
      <c r="Q197" s="32">
        <f>Rådatakommune[[#This Row],[Kvinner20-39-O]]/Rådatakommune[[#This Row],[B17-O]]</f>
        <v>0.11704384724186705</v>
      </c>
      <c r="R197" s="32">
        <f>Rådatakommune[[#This Row],[Eldre67+-O]]/Rådatakommune[[#This Row],[B17-O]]</f>
        <v>0.13136492220650636</v>
      </c>
      <c r="S197" s="32">
        <f>Rådatakommune[[#This Row],[S16-O]]/Rådatakommune[[#This Row],[S06-O]]-1</f>
        <v>0.2696629213483146</v>
      </c>
      <c r="T197" s="32">
        <f>Rådatakommune[[#This Row],[Y16-O]]/Rådatakommune[[#This Row],[Folk20-64-O]]</f>
        <v>0.86431522084524948</v>
      </c>
    </row>
    <row r="198" spans="1:20" x14ac:dyDescent="0.25">
      <c r="A198" s="2" t="s">
        <v>193</v>
      </c>
      <c r="B198" s="2">
        <v>197</v>
      </c>
      <c r="C198" s="35">
        <v>10892</v>
      </c>
      <c r="D198" s="34">
        <v>11806</v>
      </c>
      <c r="E198" s="31">
        <v>5541</v>
      </c>
      <c r="F198" s="36">
        <v>1714</v>
      </c>
      <c r="G198" s="37">
        <v>1349</v>
      </c>
      <c r="H198">
        <v>6536</v>
      </c>
      <c r="I198" s="31">
        <v>4493</v>
      </c>
      <c r="J198" s="31">
        <v>4626</v>
      </c>
      <c r="K198" s="7">
        <v>246.56</v>
      </c>
      <c r="L198" s="38">
        <v>471700</v>
      </c>
      <c r="M198" s="39">
        <v>190.65625</v>
      </c>
      <c r="N198">
        <v>6</v>
      </c>
      <c r="O198" s="30">
        <f>Rådatakommune[[#This Row],[B17-O]]/Rådatakommune[[#This Row],[Totalareal2017-O]]</f>
        <v>47.882868267358859</v>
      </c>
      <c r="P198" s="32">
        <f>Rådatakommune[[#This Row],[B17-O]]/Rådatakommune[[#This Row],[B07-O]]-1</f>
        <v>8.3914799853103128E-2</v>
      </c>
      <c r="Q198" s="32">
        <f>Rådatakommune[[#This Row],[Kvinner20-39-O]]/Rådatakommune[[#This Row],[B17-O]]</f>
        <v>0.11426393359308826</v>
      </c>
      <c r="R198" s="32">
        <f>Rådatakommune[[#This Row],[Eldre67+-O]]/Rådatakommune[[#This Row],[B17-O]]</f>
        <v>0.14518041673725224</v>
      </c>
      <c r="S198" s="32">
        <f>Rådatakommune[[#This Row],[S16-O]]/Rådatakommune[[#This Row],[S06-O]]-1</f>
        <v>2.9601602492766554E-2</v>
      </c>
      <c r="T198" s="32">
        <f>Rådatakommune[[#This Row],[Y16-O]]/Rådatakommune[[#This Row],[Folk20-64-O]]</f>
        <v>0.84776621787025708</v>
      </c>
    </row>
    <row r="199" spans="1:20" x14ac:dyDescent="0.25">
      <c r="A199" s="2" t="s">
        <v>194</v>
      </c>
      <c r="B199" s="2">
        <v>198</v>
      </c>
      <c r="C199" s="35">
        <v>16850</v>
      </c>
      <c r="D199" s="34">
        <v>18821</v>
      </c>
      <c r="E199" s="31">
        <v>9085</v>
      </c>
      <c r="F199" s="36">
        <v>2558</v>
      </c>
      <c r="G199" s="37">
        <v>2368</v>
      </c>
      <c r="H199">
        <v>10844</v>
      </c>
      <c r="I199" s="31">
        <v>9021</v>
      </c>
      <c r="J199" s="31">
        <v>9137</v>
      </c>
      <c r="K199" s="7">
        <v>143.69</v>
      </c>
      <c r="L199" s="38">
        <v>435100</v>
      </c>
      <c r="M199" s="39">
        <v>172.9375</v>
      </c>
      <c r="N199">
        <v>6</v>
      </c>
      <c r="O199" s="30">
        <f>Rådatakommune[[#This Row],[B17-O]]/Rådatakommune[[#This Row],[Totalareal2017-O]]</f>
        <v>130.98336697056163</v>
      </c>
      <c r="P199" s="32">
        <f>Rådatakommune[[#This Row],[B17-O]]/Rådatakommune[[#This Row],[B07-O]]-1</f>
        <v>0.11697329376854593</v>
      </c>
      <c r="Q199" s="32">
        <f>Rådatakommune[[#This Row],[Kvinner20-39-O]]/Rådatakommune[[#This Row],[B17-O]]</f>
        <v>0.12581690664683068</v>
      </c>
      <c r="R199" s="32">
        <f>Rådatakommune[[#This Row],[Eldre67+-O]]/Rådatakommune[[#This Row],[B17-O]]</f>
        <v>0.13591201317677062</v>
      </c>
      <c r="S199" s="32">
        <f>Rådatakommune[[#This Row],[S16-O]]/Rådatakommune[[#This Row],[S06-O]]-1</f>
        <v>1.2858884824298755E-2</v>
      </c>
      <c r="T199" s="32">
        <f>Rådatakommune[[#This Row],[Y16-O]]/Rådatakommune[[#This Row],[Folk20-64-O]]</f>
        <v>0.83779048321652527</v>
      </c>
    </row>
    <row r="200" spans="1:20" x14ac:dyDescent="0.25">
      <c r="A200" s="2" t="s">
        <v>195</v>
      </c>
      <c r="B200" s="2">
        <v>199</v>
      </c>
      <c r="C200" s="35">
        <v>2897</v>
      </c>
      <c r="D200" s="34">
        <v>3189</v>
      </c>
      <c r="E200" s="31">
        <v>1578</v>
      </c>
      <c r="F200" s="36">
        <v>424</v>
      </c>
      <c r="G200" s="37">
        <v>356</v>
      </c>
      <c r="H200">
        <v>1803</v>
      </c>
      <c r="I200" s="31">
        <v>1060</v>
      </c>
      <c r="J200" s="31">
        <v>1220</v>
      </c>
      <c r="K200" s="7">
        <v>142.42999999999998</v>
      </c>
      <c r="L200" s="38">
        <v>437800</v>
      </c>
      <c r="M200" s="39">
        <v>176.4375</v>
      </c>
      <c r="N200">
        <v>6</v>
      </c>
      <c r="O200" s="30">
        <f>Rådatakommune[[#This Row],[B17-O]]/Rådatakommune[[#This Row],[Totalareal2017-O]]</f>
        <v>22.389945938355687</v>
      </c>
      <c r="P200" s="32">
        <f>Rådatakommune[[#This Row],[B17-O]]/Rådatakommune[[#This Row],[B07-O]]-1</f>
        <v>0.10079392474974114</v>
      </c>
      <c r="Q200" s="32">
        <f>Rådatakommune[[#This Row],[Kvinner20-39-O]]/Rådatakommune[[#This Row],[B17-O]]</f>
        <v>0.11163374098463469</v>
      </c>
      <c r="R200" s="32">
        <f>Rådatakommune[[#This Row],[Eldre67+-O]]/Rådatakommune[[#This Row],[B17-O]]</f>
        <v>0.13295703982439636</v>
      </c>
      <c r="S200" s="32">
        <f>Rådatakommune[[#This Row],[S16-O]]/Rådatakommune[[#This Row],[S06-O]]-1</f>
        <v>0.15094339622641506</v>
      </c>
      <c r="T200" s="32">
        <f>Rådatakommune[[#This Row],[Y16-O]]/Rådatakommune[[#This Row],[Folk20-64-O]]</f>
        <v>0.87520798668885191</v>
      </c>
    </row>
    <row r="201" spans="1:20" x14ac:dyDescent="0.25">
      <c r="A201" s="2" t="s">
        <v>196</v>
      </c>
      <c r="B201" s="2">
        <v>200</v>
      </c>
      <c r="C201" s="35">
        <v>2753</v>
      </c>
      <c r="D201" s="34">
        <v>2847</v>
      </c>
      <c r="E201" s="31">
        <v>1349</v>
      </c>
      <c r="F201" s="36">
        <v>624</v>
      </c>
      <c r="G201" s="37">
        <v>298</v>
      </c>
      <c r="H201">
        <v>1510</v>
      </c>
      <c r="I201" s="31">
        <v>991</v>
      </c>
      <c r="J201" s="31">
        <v>1153</v>
      </c>
      <c r="K201" s="7">
        <v>255.10999999999999</v>
      </c>
      <c r="L201" s="38">
        <v>415600</v>
      </c>
      <c r="M201" s="39">
        <v>210.875</v>
      </c>
      <c r="N201">
        <v>6</v>
      </c>
      <c r="O201" s="30">
        <f>Rådatakommune[[#This Row],[B17-O]]/Rådatakommune[[#This Row],[Totalareal2017-O]]</f>
        <v>11.159891811375486</v>
      </c>
      <c r="P201" s="32">
        <f>Rådatakommune[[#This Row],[B17-O]]/Rådatakommune[[#This Row],[B07-O]]-1</f>
        <v>3.4144569560479399E-2</v>
      </c>
      <c r="Q201" s="32">
        <f>Rådatakommune[[#This Row],[Kvinner20-39-O]]/Rådatakommune[[#This Row],[B17-O]]</f>
        <v>0.10467158412363892</v>
      </c>
      <c r="R201" s="32">
        <f>Rådatakommune[[#This Row],[Eldre67+-O]]/Rådatakommune[[#This Row],[B17-O]]</f>
        <v>0.21917808219178081</v>
      </c>
      <c r="S201" s="32">
        <f>Rådatakommune[[#This Row],[S16-O]]/Rådatakommune[[#This Row],[S06-O]]-1</f>
        <v>0.1634712411705348</v>
      </c>
      <c r="T201" s="32">
        <f>Rådatakommune[[#This Row],[Y16-O]]/Rådatakommune[[#This Row],[Folk20-64-O]]</f>
        <v>0.8933774834437086</v>
      </c>
    </row>
    <row r="202" spans="1:20" x14ac:dyDescent="0.25">
      <c r="A202" s="2" t="s">
        <v>197</v>
      </c>
      <c r="B202" s="2">
        <v>201</v>
      </c>
      <c r="C202" s="35">
        <v>13032</v>
      </c>
      <c r="D202" s="34">
        <v>13241</v>
      </c>
      <c r="E202" s="31">
        <v>6139</v>
      </c>
      <c r="F202" s="36">
        <v>2413</v>
      </c>
      <c r="G202" s="37">
        <v>1370</v>
      </c>
      <c r="H202">
        <v>7161</v>
      </c>
      <c r="I202" s="31">
        <v>5760</v>
      </c>
      <c r="J202" s="31">
        <v>5435</v>
      </c>
      <c r="K202" s="7">
        <v>1090.74</v>
      </c>
      <c r="L202" s="38">
        <v>404400</v>
      </c>
      <c r="M202" s="39">
        <v>277.4375</v>
      </c>
      <c r="N202">
        <v>8</v>
      </c>
      <c r="O202" s="30">
        <f>Rådatakommune[[#This Row],[B17-O]]/Rådatakommune[[#This Row],[Totalareal2017-O]]</f>
        <v>12.139464950400646</v>
      </c>
      <c r="P202" s="32">
        <f>Rådatakommune[[#This Row],[B17-O]]/Rådatakommune[[#This Row],[B07-O]]-1</f>
        <v>1.6037446286065071E-2</v>
      </c>
      <c r="Q202" s="32">
        <f>Rådatakommune[[#This Row],[Kvinner20-39-O]]/Rådatakommune[[#This Row],[B17-O]]</f>
        <v>0.10346650555094027</v>
      </c>
      <c r="R202" s="32">
        <f>Rådatakommune[[#This Row],[Eldre67+-O]]/Rådatakommune[[#This Row],[B17-O]]</f>
        <v>0.18223699116380937</v>
      </c>
      <c r="S202" s="32">
        <f>Rådatakommune[[#This Row],[S16-O]]/Rådatakommune[[#This Row],[S06-O]]-1</f>
        <v>-5.642361111111116E-2</v>
      </c>
      <c r="T202" s="32">
        <f>Rådatakommune[[#This Row],[Y16-O]]/Rådatakommune[[#This Row],[Folk20-64-O]]</f>
        <v>0.85728250244379278</v>
      </c>
    </row>
    <row r="203" spans="1:20" x14ac:dyDescent="0.25">
      <c r="A203" s="2" t="s">
        <v>198</v>
      </c>
      <c r="B203" s="2">
        <v>202</v>
      </c>
      <c r="C203" s="35">
        <v>1056</v>
      </c>
      <c r="D203" s="34">
        <v>1108</v>
      </c>
      <c r="E203" s="31">
        <v>522</v>
      </c>
      <c r="F203" s="36">
        <v>249</v>
      </c>
      <c r="G203" s="37">
        <v>119</v>
      </c>
      <c r="H203">
        <v>579</v>
      </c>
      <c r="I203" s="31">
        <v>488</v>
      </c>
      <c r="J203" s="31">
        <v>396</v>
      </c>
      <c r="K203" s="7">
        <v>247.07</v>
      </c>
      <c r="L203" s="38">
        <v>381000</v>
      </c>
      <c r="M203" s="39">
        <v>255.125</v>
      </c>
      <c r="N203">
        <v>9</v>
      </c>
      <c r="O203" s="30">
        <f>Rådatakommune[[#This Row],[B17-O]]/Rådatakommune[[#This Row],[Totalareal2017-O]]</f>
        <v>4.4845590318533208</v>
      </c>
      <c r="P203" s="32">
        <f>Rådatakommune[[#This Row],[B17-O]]/Rådatakommune[[#This Row],[B07-O]]-1</f>
        <v>4.924242424242431E-2</v>
      </c>
      <c r="Q203" s="32">
        <f>Rådatakommune[[#This Row],[Kvinner20-39-O]]/Rådatakommune[[#This Row],[B17-O]]</f>
        <v>0.10740072202166065</v>
      </c>
      <c r="R203" s="32">
        <f>Rådatakommune[[#This Row],[Eldre67+-O]]/Rådatakommune[[#This Row],[B17-O]]</f>
        <v>0.22472924187725632</v>
      </c>
      <c r="S203" s="32">
        <f>Rådatakommune[[#This Row],[S16-O]]/Rådatakommune[[#This Row],[S06-O]]-1</f>
        <v>-0.18852459016393441</v>
      </c>
      <c r="T203" s="32">
        <f>Rådatakommune[[#This Row],[Y16-O]]/Rådatakommune[[#This Row],[Folk20-64-O]]</f>
        <v>0.9015544041450777</v>
      </c>
    </row>
    <row r="204" spans="1:20" x14ac:dyDescent="0.25">
      <c r="A204" s="2" t="s">
        <v>199</v>
      </c>
      <c r="B204" s="2">
        <v>203</v>
      </c>
      <c r="C204" s="35">
        <v>7154</v>
      </c>
      <c r="D204" s="34">
        <v>7025</v>
      </c>
      <c r="E204" s="31">
        <v>3325</v>
      </c>
      <c r="F204" s="36">
        <v>1376</v>
      </c>
      <c r="G204" s="37">
        <v>757</v>
      </c>
      <c r="H204">
        <v>3970</v>
      </c>
      <c r="I204" s="31">
        <v>3605</v>
      </c>
      <c r="J204" s="31">
        <v>3519</v>
      </c>
      <c r="K204" s="7">
        <v>1615.89</v>
      </c>
      <c r="L204" s="38">
        <v>404200</v>
      </c>
      <c r="M204" s="39">
        <v>267</v>
      </c>
      <c r="N204">
        <v>7</v>
      </c>
      <c r="O204" s="30">
        <f>Rådatakommune[[#This Row],[B17-O]]/Rådatakommune[[#This Row],[Totalareal2017-O]]</f>
        <v>4.3474493932136467</v>
      </c>
      <c r="P204" s="32">
        <f>Rådatakommune[[#This Row],[B17-O]]/Rådatakommune[[#This Row],[B07-O]]-1</f>
        <v>-1.803187028235953E-2</v>
      </c>
      <c r="Q204" s="32">
        <f>Rådatakommune[[#This Row],[Kvinner20-39-O]]/Rådatakommune[[#This Row],[B17-O]]</f>
        <v>0.10775800711743773</v>
      </c>
      <c r="R204" s="32">
        <f>Rådatakommune[[#This Row],[Eldre67+-O]]/Rådatakommune[[#This Row],[B17-O]]</f>
        <v>0.19587188612099643</v>
      </c>
      <c r="S204" s="32">
        <f>Rådatakommune[[#This Row],[S16-O]]/Rådatakommune[[#This Row],[S06-O]]-1</f>
        <v>-2.385575589459088E-2</v>
      </c>
      <c r="T204" s="32">
        <f>Rådatakommune[[#This Row],[Y16-O]]/Rådatakommune[[#This Row],[Folk20-64-O]]</f>
        <v>0.83753148614609574</v>
      </c>
    </row>
    <row r="205" spans="1:20" x14ac:dyDescent="0.25">
      <c r="A205" s="2" t="s">
        <v>200</v>
      </c>
      <c r="B205" s="2">
        <v>204</v>
      </c>
      <c r="C205" s="35">
        <v>3416</v>
      </c>
      <c r="D205" s="34">
        <v>3377</v>
      </c>
      <c r="E205" s="31">
        <v>1641</v>
      </c>
      <c r="F205" s="36">
        <v>703</v>
      </c>
      <c r="G205" s="37">
        <v>352</v>
      </c>
      <c r="H205">
        <v>1809</v>
      </c>
      <c r="I205" s="31">
        <v>1366</v>
      </c>
      <c r="J205" s="31">
        <v>1218</v>
      </c>
      <c r="K205" s="7">
        <v>1398.53</v>
      </c>
      <c r="L205" s="38">
        <v>381400</v>
      </c>
      <c r="M205" s="39">
        <v>272.875</v>
      </c>
      <c r="N205">
        <v>7</v>
      </c>
      <c r="O205" s="30">
        <f>Rådatakommune[[#This Row],[B17-O]]/Rådatakommune[[#This Row],[Totalareal2017-O]]</f>
        <v>2.4146782693256492</v>
      </c>
      <c r="P205" s="32">
        <f>Rådatakommune[[#This Row],[B17-O]]/Rådatakommune[[#This Row],[B07-O]]-1</f>
        <v>-1.1416861826697877E-2</v>
      </c>
      <c r="Q205" s="32">
        <f>Rådatakommune[[#This Row],[Kvinner20-39-O]]/Rådatakommune[[#This Row],[B17-O]]</f>
        <v>0.10423452768729642</v>
      </c>
      <c r="R205" s="32">
        <f>Rådatakommune[[#This Row],[Eldre67+-O]]/Rådatakommune[[#This Row],[B17-O]]</f>
        <v>0.20817293455729938</v>
      </c>
      <c r="S205" s="32">
        <f>Rådatakommune[[#This Row],[S16-O]]/Rådatakommune[[#This Row],[S06-O]]-1</f>
        <v>-0.10834553440702777</v>
      </c>
      <c r="T205" s="32">
        <f>Rådatakommune[[#This Row],[Y16-O]]/Rådatakommune[[#This Row],[Folk20-64-O]]</f>
        <v>0.90713101160862353</v>
      </c>
    </row>
    <row r="206" spans="1:20" x14ac:dyDescent="0.25">
      <c r="A206" s="2" t="s">
        <v>201</v>
      </c>
      <c r="B206" s="2">
        <v>205</v>
      </c>
      <c r="C206" s="35">
        <v>915</v>
      </c>
      <c r="D206" s="34">
        <v>921</v>
      </c>
      <c r="E206" s="31">
        <v>507</v>
      </c>
      <c r="F206" s="36">
        <v>171</v>
      </c>
      <c r="G206" s="37">
        <v>97</v>
      </c>
      <c r="H206">
        <v>548</v>
      </c>
      <c r="I206" s="31">
        <v>412</v>
      </c>
      <c r="J206" s="31">
        <v>390</v>
      </c>
      <c r="K206" s="7">
        <v>1491.46</v>
      </c>
      <c r="L206" s="38">
        <v>441700</v>
      </c>
      <c r="M206" s="39">
        <v>249</v>
      </c>
      <c r="N206">
        <v>9</v>
      </c>
      <c r="O206" s="30">
        <f>Rådatakommune[[#This Row],[B17-O]]/Rådatakommune[[#This Row],[Totalareal2017-O]]</f>
        <v>0.61751572284875222</v>
      </c>
      <c r="P206" s="32">
        <f>Rådatakommune[[#This Row],[B17-O]]/Rådatakommune[[#This Row],[B07-O]]-1</f>
        <v>6.5573770491802463E-3</v>
      </c>
      <c r="Q206" s="32">
        <f>Rådatakommune[[#This Row],[Kvinner20-39-O]]/Rådatakommune[[#This Row],[B17-O]]</f>
        <v>0.10532030401737243</v>
      </c>
      <c r="R206" s="32">
        <f>Rådatakommune[[#This Row],[Eldre67+-O]]/Rådatakommune[[#This Row],[B17-O]]</f>
        <v>0.18566775244299674</v>
      </c>
      <c r="S206" s="32">
        <f>Rådatakommune[[#This Row],[S16-O]]/Rådatakommune[[#This Row],[S06-O]]-1</f>
        <v>-5.3398058252427161E-2</v>
      </c>
      <c r="T206" s="32">
        <f>Rådatakommune[[#This Row],[Y16-O]]/Rådatakommune[[#This Row],[Folk20-64-O]]</f>
        <v>0.92518248175182483</v>
      </c>
    </row>
    <row r="207" spans="1:20" x14ac:dyDescent="0.25">
      <c r="A207" s="2" t="s">
        <v>202</v>
      </c>
      <c r="B207" s="2">
        <v>206</v>
      </c>
      <c r="C207" s="35">
        <v>1137</v>
      </c>
      <c r="D207" s="34">
        <v>1131</v>
      </c>
      <c r="E207" s="31">
        <v>538</v>
      </c>
      <c r="F207" s="36">
        <v>246</v>
      </c>
      <c r="G207" s="37">
        <v>114</v>
      </c>
      <c r="H207">
        <v>609</v>
      </c>
      <c r="I207" s="31">
        <v>516</v>
      </c>
      <c r="J207" s="31">
        <v>411</v>
      </c>
      <c r="K207" s="7">
        <v>722</v>
      </c>
      <c r="L207" s="38">
        <v>365100</v>
      </c>
      <c r="M207" s="39">
        <v>268.5625</v>
      </c>
      <c r="N207">
        <v>6</v>
      </c>
      <c r="O207" s="30">
        <f>Rådatakommune[[#This Row],[B17-O]]/Rådatakommune[[#This Row],[Totalareal2017-O]]</f>
        <v>1.5664819944598338</v>
      </c>
      <c r="P207" s="32">
        <f>Rådatakommune[[#This Row],[B17-O]]/Rådatakommune[[#This Row],[B07-O]]-1</f>
        <v>-5.2770448548812299E-3</v>
      </c>
      <c r="Q207" s="32">
        <f>Rådatakommune[[#This Row],[Kvinner20-39-O]]/Rådatakommune[[#This Row],[B17-O]]</f>
        <v>0.10079575596816977</v>
      </c>
      <c r="R207" s="32">
        <f>Rådatakommune[[#This Row],[Eldre67+-O]]/Rådatakommune[[#This Row],[B17-O]]</f>
        <v>0.21750663129973474</v>
      </c>
      <c r="S207" s="32">
        <f>Rådatakommune[[#This Row],[S16-O]]/Rådatakommune[[#This Row],[S06-O]]-1</f>
        <v>-0.20348837209302328</v>
      </c>
      <c r="T207" s="32">
        <f>Rådatakommune[[#This Row],[Y16-O]]/Rådatakommune[[#This Row],[Folk20-64-O]]</f>
        <v>0.8834154351395731</v>
      </c>
    </row>
    <row r="208" spans="1:20" x14ac:dyDescent="0.25">
      <c r="A208" s="2" t="s">
        <v>203</v>
      </c>
      <c r="B208" s="2">
        <v>207</v>
      </c>
      <c r="C208" s="35">
        <v>977</v>
      </c>
      <c r="D208" s="34">
        <v>933</v>
      </c>
      <c r="E208" s="31">
        <v>485</v>
      </c>
      <c r="F208" s="36">
        <v>203</v>
      </c>
      <c r="G208" s="37">
        <v>103</v>
      </c>
      <c r="H208">
        <v>520</v>
      </c>
      <c r="I208" s="31">
        <v>365</v>
      </c>
      <c r="J208" s="31">
        <v>319</v>
      </c>
      <c r="K208" s="7">
        <v>211.28</v>
      </c>
      <c r="L208" s="38">
        <v>380100</v>
      </c>
      <c r="M208" s="39">
        <v>258.875</v>
      </c>
      <c r="N208">
        <v>6</v>
      </c>
      <c r="O208" s="30">
        <f>Rådatakommune[[#This Row],[B17-O]]/Rådatakommune[[#This Row],[Totalareal2017-O]]</f>
        <v>4.4159409314653537</v>
      </c>
      <c r="P208" s="32">
        <f>Rådatakommune[[#This Row],[B17-O]]/Rådatakommune[[#This Row],[B07-O]]-1</f>
        <v>-4.5035823950870024E-2</v>
      </c>
      <c r="Q208" s="32">
        <f>Rådatakommune[[#This Row],[Kvinner20-39-O]]/Rådatakommune[[#This Row],[B17-O]]</f>
        <v>0.11039657020364416</v>
      </c>
      <c r="R208" s="32">
        <f>Rådatakommune[[#This Row],[Eldre67+-O]]/Rådatakommune[[#This Row],[B17-O]]</f>
        <v>0.21757770632368703</v>
      </c>
      <c r="S208" s="32">
        <f>Rådatakommune[[#This Row],[S16-O]]/Rådatakommune[[#This Row],[S06-O]]-1</f>
        <v>-0.12602739726027401</v>
      </c>
      <c r="T208" s="32">
        <f>Rådatakommune[[#This Row],[Y16-O]]/Rådatakommune[[#This Row],[Folk20-64-O]]</f>
        <v>0.93269230769230771</v>
      </c>
    </row>
    <row r="209" spans="1:20" x14ac:dyDescent="0.25">
      <c r="A209" s="2" t="s">
        <v>204</v>
      </c>
      <c r="B209" s="2">
        <v>208</v>
      </c>
      <c r="C209" s="35">
        <v>13786</v>
      </c>
      <c r="D209" s="34">
        <v>14514</v>
      </c>
      <c r="E209" s="31">
        <v>7340</v>
      </c>
      <c r="F209" s="36">
        <v>2662</v>
      </c>
      <c r="G209" s="37">
        <v>1643</v>
      </c>
      <c r="H209">
        <v>8009</v>
      </c>
      <c r="I209" s="31">
        <v>6342</v>
      </c>
      <c r="J209" s="31">
        <v>7010</v>
      </c>
      <c r="K209" s="7">
        <v>1805.81</v>
      </c>
      <c r="L209" s="38">
        <v>403400</v>
      </c>
      <c r="M209" s="39">
        <v>237.15625</v>
      </c>
      <c r="N209">
        <v>6</v>
      </c>
      <c r="O209" s="30">
        <f>Rådatakommune[[#This Row],[B17-O]]/Rådatakommune[[#This Row],[Totalareal2017-O]]</f>
        <v>8.0373904231342177</v>
      </c>
      <c r="P209" s="32">
        <f>Rådatakommune[[#This Row],[B17-O]]/Rådatakommune[[#This Row],[B07-O]]-1</f>
        <v>5.2807195705788512E-2</v>
      </c>
      <c r="Q209" s="32">
        <f>Rådatakommune[[#This Row],[Kvinner20-39-O]]/Rådatakommune[[#This Row],[B17-O]]</f>
        <v>0.11320104726470993</v>
      </c>
      <c r="R209" s="32">
        <f>Rådatakommune[[#This Row],[Eldre67+-O]]/Rådatakommune[[#This Row],[B17-O]]</f>
        <v>0.18340912222681549</v>
      </c>
      <c r="S209" s="32">
        <f>Rådatakommune[[#This Row],[S16-O]]/Rådatakommune[[#This Row],[S06-O]]-1</f>
        <v>0.10532954903815828</v>
      </c>
      <c r="T209" s="32">
        <f>Rådatakommune[[#This Row],[Y16-O]]/Rådatakommune[[#This Row],[Folk20-64-O]]</f>
        <v>0.91646897240604319</v>
      </c>
    </row>
    <row r="210" spans="1:20" x14ac:dyDescent="0.25">
      <c r="A210" s="2" t="s">
        <v>205</v>
      </c>
      <c r="B210" s="2">
        <v>209</v>
      </c>
      <c r="C210" s="35">
        <v>8230</v>
      </c>
      <c r="D210" s="34">
        <v>8423</v>
      </c>
      <c r="E210" s="31">
        <v>4049</v>
      </c>
      <c r="F210" s="36">
        <v>1608</v>
      </c>
      <c r="G210" s="37">
        <v>859</v>
      </c>
      <c r="H210">
        <v>4554</v>
      </c>
      <c r="I210" s="31">
        <v>3860</v>
      </c>
      <c r="J210" s="31">
        <v>3636</v>
      </c>
      <c r="K210" s="7">
        <v>616.5</v>
      </c>
      <c r="L210" s="38">
        <v>404900</v>
      </c>
      <c r="M210" s="39">
        <v>217.4375</v>
      </c>
      <c r="N210">
        <v>5</v>
      </c>
      <c r="O210" s="30">
        <f>Rådatakommune[[#This Row],[B17-O]]/Rådatakommune[[#This Row],[Totalareal2017-O]]</f>
        <v>13.662611516626114</v>
      </c>
      <c r="P210" s="32">
        <f>Rådatakommune[[#This Row],[B17-O]]/Rådatakommune[[#This Row],[B07-O]]-1</f>
        <v>2.345078979343862E-2</v>
      </c>
      <c r="Q210" s="32">
        <f>Rådatakommune[[#This Row],[Kvinner20-39-O]]/Rådatakommune[[#This Row],[B17-O]]</f>
        <v>0.10198266650836994</v>
      </c>
      <c r="R210" s="32">
        <f>Rådatakommune[[#This Row],[Eldre67+-O]]/Rådatakommune[[#This Row],[B17-O]]</f>
        <v>0.19090585302148877</v>
      </c>
      <c r="S210" s="32">
        <f>Rådatakommune[[#This Row],[S16-O]]/Rådatakommune[[#This Row],[S06-O]]-1</f>
        <v>-5.8031088082901583E-2</v>
      </c>
      <c r="T210" s="32">
        <f>Rådatakommune[[#This Row],[Y16-O]]/Rådatakommune[[#This Row],[Folk20-64-O]]</f>
        <v>0.88910847606499777</v>
      </c>
    </row>
    <row r="211" spans="1:20" x14ac:dyDescent="0.25">
      <c r="A211" s="2" t="s">
        <v>206</v>
      </c>
      <c r="B211" s="2">
        <v>210</v>
      </c>
      <c r="C211" s="35">
        <v>3749</v>
      </c>
      <c r="D211" s="34">
        <v>3895</v>
      </c>
      <c r="E211" s="31">
        <v>1912</v>
      </c>
      <c r="F211" s="36">
        <v>693</v>
      </c>
      <c r="G211" s="37">
        <v>385</v>
      </c>
      <c r="H211">
        <v>2104</v>
      </c>
      <c r="I211" s="31">
        <v>1824</v>
      </c>
      <c r="J211" s="31">
        <v>1954</v>
      </c>
      <c r="K211" s="7">
        <v>377.84</v>
      </c>
      <c r="L211" s="38">
        <v>436100</v>
      </c>
      <c r="M211" s="39">
        <v>213.5</v>
      </c>
      <c r="N211">
        <v>1</v>
      </c>
      <c r="O211" s="30">
        <f>Rådatakommune[[#This Row],[B17-O]]/Rådatakommune[[#This Row],[Totalareal2017-O]]</f>
        <v>10.308596231208979</v>
      </c>
      <c r="P211" s="32">
        <f>Rådatakommune[[#This Row],[B17-O]]/Rådatakommune[[#This Row],[B07-O]]-1</f>
        <v>3.8943718324886634E-2</v>
      </c>
      <c r="Q211" s="32">
        <f>Rådatakommune[[#This Row],[Kvinner20-39-O]]/Rådatakommune[[#This Row],[B17-O]]</f>
        <v>9.8844672657252886E-2</v>
      </c>
      <c r="R211" s="32">
        <f>Rådatakommune[[#This Row],[Eldre67+-O]]/Rådatakommune[[#This Row],[B17-O]]</f>
        <v>0.17792041078305521</v>
      </c>
      <c r="S211" s="32">
        <f>Rådatakommune[[#This Row],[S16-O]]/Rådatakommune[[#This Row],[S06-O]]-1</f>
        <v>7.1271929824561431E-2</v>
      </c>
      <c r="T211" s="32">
        <f>Rådatakommune[[#This Row],[Y16-O]]/Rådatakommune[[#This Row],[Folk20-64-O]]</f>
        <v>0.90874524714828897</v>
      </c>
    </row>
    <row r="212" spans="1:20" x14ac:dyDescent="0.25">
      <c r="A212" s="2" t="s">
        <v>207</v>
      </c>
      <c r="B212" s="2">
        <v>211</v>
      </c>
      <c r="C212" s="35">
        <v>2353</v>
      </c>
      <c r="D212" s="34">
        <v>2488</v>
      </c>
      <c r="E212" s="31">
        <v>1179</v>
      </c>
      <c r="F212" s="36">
        <v>425</v>
      </c>
      <c r="G212" s="37">
        <v>293</v>
      </c>
      <c r="H212">
        <v>1393</v>
      </c>
      <c r="I212" s="31">
        <v>573</v>
      </c>
      <c r="J212" s="31">
        <v>581</v>
      </c>
      <c r="K212" s="7">
        <v>269.07000000000005</v>
      </c>
      <c r="L212" s="38">
        <v>423100</v>
      </c>
      <c r="M212" s="39">
        <v>196.375</v>
      </c>
      <c r="N212">
        <v>1</v>
      </c>
      <c r="O212" s="30">
        <f>Rådatakommune[[#This Row],[B17-O]]/Rådatakommune[[#This Row],[Totalareal2017-O]]</f>
        <v>9.2466644367636661</v>
      </c>
      <c r="P212" s="32">
        <f>Rådatakommune[[#This Row],[B17-O]]/Rådatakommune[[#This Row],[B07-O]]-1</f>
        <v>5.7373565660858494E-2</v>
      </c>
      <c r="Q212" s="32">
        <f>Rådatakommune[[#This Row],[Kvinner20-39-O]]/Rådatakommune[[#This Row],[B17-O]]</f>
        <v>0.11776527331189711</v>
      </c>
      <c r="R212" s="32">
        <f>Rådatakommune[[#This Row],[Eldre67+-O]]/Rådatakommune[[#This Row],[B17-O]]</f>
        <v>0.17081993569131831</v>
      </c>
      <c r="S212" s="32">
        <f>Rådatakommune[[#This Row],[S16-O]]/Rådatakommune[[#This Row],[S06-O]]-1</f>
        <v>1.3961605584642323E-2</v>
      </c>
      <c r="T212" s="32">
        <f>Rådatakommune[[#This Row],[Y16-O]]/Rådatakommune[[#This Row],[Folk20-64-O]]</f>
        <v>0.84637473079684133</v>
      </c>
    </row>
    <row r="213" spans="1:20" x14ac:dyDescent="0.25">
      <c r="A213" s="2" t="s">
        <v>208</v>
      </c>
      <c r="B213" s="2">
        <v>212</v>
      </c>
      <c r="C213" s="35">
        <v>15595</v>
      </c>
      <c r="D213" s="34">
        <v>20152</v>
      </c>
      <c r="E213" s="31">
        <v>9859</v>
      </c>
      <c r="F213" s="36">
        <v>2513</v>
      </c>
      <c r="G213" s="37">
        <v>2674</v>
      </c>
      <c r="H213">
        <v>11591</v>
      </c>
      <c r="I213" s="31">
        <v>5329</v>
      </c>
      <c r="J213" s="31">
        <v>5780</v>
      </c>
      <c r="K213" s="7">
        <v>139.57</v>
      </c>
      <c r="L213" s="38">
        <v>464000</v>
      </c>
      <c r="M213" s="39">
        <v>177.84375</v>
      </c>
      <c r="N213">
        <v>1</v>
      </c>
      <c r="O213" s="30">
        <f>Rådatakommune[[#This Row],[B17-O]]/Rådatakommune[[#This Row],[Totalareal2017-O]]</f>
        <v>144.38632944042416</v>
      </c>
      <c r="P213" s="32">
        <f>Rådatakommune[[#This Row],[B17-O]]/Rådatakommune[[#This Row],[B07-O]]-1</f>
        <v>0.29220904135941006</v>
      </c>
      <c r="Q213" s="32">
        <f>Rådatakommune[[#This Row],[Kvinner20-39-O]]/Rådatakommune[[#This Row],[B17-O]]</f>
        <v>0.13269154426359667</v>
      </c>
      <c r="R213" s="32">
        <f>Rådatakommune[[#This Row],[Eldre67+-O]]/Rådatakommune[[#This Row],[B17-O]]</f>
        <v>0.12470226280269948</v>
      </c>
      <c r="S213" s="32">
        <f>Rådatakommune[[#This Row],[S16-O]]/Rådatakommune[[#This Row],[S06-O]]-1</f>
        <v>8.4631262901107229E-2</v>
      </c>
      <c r="T213" s="32">
        <f>Rådatakommune[[#This Row],[Y16-O]]/Rådatakommune[[#This Row],[Folk20-64-O]]</f>
        <v>0.85057372099042361</v>
      </c>
    </row>
    <row r="214" spans="1:20" x14ac:dyDescent="0.25">
      <c r="A214" s="2" t="s">
        <v>209</v>
      </c>
      <c r="B214" s="2">
        <v>213</v>
      </c>
      <c r="C214" s="35">
        <v>4389</v>
      </c>
      <c r="D214" s="34">
        <v>5156</v>
      </c>
      <c r="E214" s="31">
        <v>2623</v>
      </c>
      <c r="F214" s="36">
        <v>733</v>
      </c>
      <c r="G214" s="37">
        <v>645</v>
      </c>
      <c r="H214">
        <v>2855</v>
      </c>
      <c r="I214" s="31">
        <v>2231</v>
      </c>
      <c r="J214" s="31">
        <v>2775</v>
      </c>
      <c r="K214" s="7">
        <v>117.18</v>
      </c>
      <c r="L214" s="38">
        <v>532500</v>
      </c>
      <c r="M214" s="39">
        <v>226.71875</v>
      </c>
      <c r="N214">
        <v>5</v>
      </c>
      <c r="O214" s="30">
        <f>Rådatakommune[[#This Row],[B17-O]]/Rådatakommune[[#This Row],[Totalareal2017-O]]</f>
        <v>44.000682710360124</v>
      </c>
      <c r="P214" s="32">
        <f>Rådatakommune[[#This Row],[B17-O]]/Rådatakommune[[#This Row],[B07-O]]-1</f>
        <v>0.17475506949191155</v>
      </c>
      <c r="Q214" s="32">
        <f>Rådatakommune[[#This Row],[Kvinner20-39-O]]/Rådatakommune[[#This Row],[B17-O]]</f>
        <v>0.12509697439875872</v>
      </c>
      <c r="R214" s="32">
        <f>Rådatakommune[[#This Row],[Eldre67+-O]]/Rådatakommune[[#This Row],[B17-O]]</f>
        <v>0.1421644685802948</v>
      </c>
      <c r="S214" s="32">
        <f>Rådatakommune[[#This Row],[S16-O]]/Rådatakommune[[#This Row],[S06-O]]-1</f>
        <v>0.24383684446436571</v>
      </c>
      <c r="T214" s="32">
        <f>Rådatakommune[[#This Row],[Y16-O]]/Rådatakommune[[#This Row],[Folk20-64-O]]</f>
        <v>0.918739054290718</v>
      </c>
    </row>
    <row r="215" spans="1:20" x14ac:dyDescent="0.25">
      <c r="A215" s="2" t="s">
        <v>210</v>
      </c>
      <c r="B215" s="2">
        <v>214</v>
      </c>
      <c r="C215" s="35">
        <v>5670</v>
      </c>
      <c r="D215" s="34">
        <v>7058</v>
      </c>
      <c r="E215" s="31">
        <v>3274</v>
      </c>
      <c r="F215" s="36">
        <v>899</v>
      </c>
      <c r="G215" s="37">
        <v>898</v>
      </c>
      <c r="H215">
        <v>4026</v>
      </c>
      <c r="I215" s="31">
        <v>1466</v>
      </c>
      <c r="J215" s="31">
        <v>1664</v>
      </c>
      <c r="K215" s="7">
        <v>99.54</v>
      </c>
      <c r="L215" s="38">
        <v>427100</v>
      </c>
      <c r="M215" s="39">
        <v>183.4375</v>
      </c>
      <c r="N215">
        <v>1</v>
      </c>
      <c r="O215" s="30">
        <f>Rådatakommune[[#This Row],[B17-O]]/Rådatakommune[[#This Row],[Totalareal2017-O]]</f>
        <v>70.906168374522807</v>
      </c>
      <c r="P215" s="32">
        <f>Rådatakommune[[#This Row],[B17-O]]/Rådatakommune[[#This Row],[B07-O]]-1</f>
        <v>0.24479717813051138</v>
      </c>
      <c r="Q215" s="32">
        <f>Rådatakommune[[#This Row],[Kvinner20-39-O]]/Rådatakommune[[#This Row],[B17-O]]</f>
        <v>0.12723151034287333</v>
      </c>
      <c r="R215" s="32">
        <f>Rådatakommune[[#This Row],[Eldre67+-O]]/Rådatakommune[[#This Row],[B17-O]]</f>
        <v>0.12737319353924625</v>
      </c>
      <c r="S215" s="32">
        <f>Rådatakommune[[#This Row],[S16-O]]/Rådatakommune[[#This Row],[S06-O]]-1</f>
        <v>0.1350613915416099</v>
      </c>
      <c r="T215" s="32">
        <f>Rådatakommune[[#This Row],[Y16-O]]/Rådatakommune[[#This Row],[Folk20-64-O]]</f>
        <v>0.81321410829607554</v>
      </c>
    </row>
    <row r="216" spans="1:20" x14ac:dyDescent="0.25">
      <c r="A216" s="2" t="s">
        <v>211</v>
      </c>
      <c r="B216" s="2">
        <v>215</v>
      </c>
      <c r="C216" s="35">
        <v>20791</v>
      </c>
      <c r="D216" s="34">
        <v>25204</v>
      </c>
      <c r="E216" s="31">
        <v>12487</v>
      </c>
      <c r="F216" s="36">
        <v>2671</v>
      </c>
      <c r="G216" s="37">
        <v>3248</v>
      </c>
      <c r="H216">
        <v>14914</v>
      </c>
      <c r="I216" s="31">
        <v>8622</v>
      </c>
      <c r="J216" s="31">
        <v>11071</v>
      </c>
      <c r="K216" s="7">
        <v>148.16999999999999</v>
      </c>
      <c r="L216" s="38">
        <v>463200</v>
      </c>
      <c r="M216" s="39">
        <v>167.9375</v>
      </c>
      <c r="N216">
        <v>1</v>
      </c>
      <c r="O216" s="30">
        <f>Rådatakommune[[#This Row],[B17-O]]/Rådatakommune[[#This Row],[Totalareal2017-O]]</f>
        <v>170.1019099682797</v>
      </c>
      <c r="P216" s="32">
        <f>Rådatakommune[[#This Row],[B17-O]]/Rådatakommune[[#This Row],[B07-O]]-1</f>
        <v>0.21225530277523919</v>
      </c>
      <c r="Q216" s="32">
        <f>Rådatakommune[[#This Row],[Kvinner20-39-O]]/Rådatakommune[[#This Row],[B17-O]]</f>
        <v>0.12886843358197111</v>
      </c>
      <c r="R216" s="32">
        <f>Rådatakommune[[#This Row],[Eldre67+-O]]/Rådatakommune[[#This Row],[B17-O]]</f>
        <v>0.10597524202507538</v>
      </c>
      <c r="S216" s="32">
        <f>Rådatakommune[[#This Row],[S16-O]]/Rådatakommune[[#This Row],[S06-O]]-1</f>
        <v>0.28404082579447931</v>
      </c>
      <c r="T216" s="32">
        <f>Rådatakommune[[#This Row],[Y16-O]]/Rådatakommune[[#This Row],[Folk20-64-O]]</f>
        <v>0.83726699745205846</v>
      </c>
    </row>
    <row r="217" spans="1:20" x14ac:dyDescent="0.25">
      <c r="A217" s="2" t="s">
        <v>212</v>
      </c>
      <c r="B217" s="2">
        <v>216</v>
      </c>
      <c r="C217" s="35">
        <v>23018</v>
      </c>
      <c r="D217" s="34">
        <v>28821</v>
      </c>
      <c r="E217" s="31">
        <v>13974</v>
      </c>
      <c r="F217" s="36">
        <v>3388</v>
      </c>
      <c r="G217" s="37">
        <v>3716</v>
      </c>
      <c r="H217">
        <v>16412</v>
      </c>
      <c r="I217" s="31">
        <v>6151</v>
      </c>
      <c r="J217" s="31">
        <v>7934</v>
      </c>
      <c r="K217" s="7">
        <v>101.12</v>
      </c>
      <c r="L217" s="38">
        <v>436700</v>
      </c>
      <c r="M217" s="39">
        <v>166.875</v>
      </c>
      <c r="N217">
        <v>1</v>
      </c>
      <c r="O217" s="30">
        <f>Rådatakommune[[#This Row],[B17-O]]/Rådatakommune[[#This Row],[Totalareal2017-O]]</f>
        <v>285.01780063291136</v>
      </c>
      <c r="P217" s="32">
        <f>Rådatakommune[[#This Row],[B17-O]]/Rådatakommune[[#This Row],[B07-O]]-1</f>
        <v>0.25210704665913641</v>
      </c>
      <c r="Q217" s="32">
        <f>Rådatakommune[[#This Row],[Kvinner20-39-O]]/Rådatakommune[[#This Row],[B17-O]]</f>
        <v>0.12893376357517089</v>
      </c>
      <c r="R217" s="32">
        <f>Rådatakommune[[#This Row],[Eldre67+-O]]/Rådatakommune[[#This Row],[B17-O]]</f>
        <v>0.11755317303355192</v>
      </c>
      <c r="S217" s="32">
        <f>Rådatakommune[[#This Row],[S16-O]]/Rådatakommune[[#This Row],[S06-O]]-1</f>
        <v>0.28987156559908955</v>
      </c>
      <c r="T217" s="32">
        <f>Rådatakommune[[#This Row],[Y16-O]]/Rådatakommune[[#This Row],[Folk20-64-O]]</f>
        <v>0.85145015842066785</v>
      </c>
    </row>
    <row r="218" spans="1:20" x14ac:dyDescent="0.25">
      <c r="A218" s="2" t="s">
        <v>213</v>
      </c>
      <c r="B218" s="2">
        <v>217</v>
      </c>
      <c r="C218" s="35">
        <v>4094</v>
      </c>
      <c r="D218" s="34">
        <v>4123</v>
      </c>
      <c r="E218" s="31">
        <v>1843</v>
      </c>
      <c r="F218" s="36">
        <v>783</v>
      </c>
      <c r="G218" s="37">
        <v>461</v>
      </c>
      <c r="H218">
        <v>2272</v>
      </c>
      <c r="I218" s="31">
        <v>1569</v>
      </c>
      <c r="J218" s="31">
        <v>1230</v>
      </c>
      <c r="K218" s="7">
        <v>715.37</v>
      </c>
      <c r="L218" s="38">
        <v>375000</v>
      </c>
      <c r="M218" s="39">
        <v>205.75</v>
      </c>
      <c r="N218">
        <v>1</v>
      </c>
      <c r="O218" s="30">
        <f>Rådatakommune[[#This Row],[B17-O]]/Rådatakommune[[#This Row],[Totalareal2017-O]]</f>
        <v>5.7634510812586495</v>
      </c>
      <c r="P218" s="32">
        <f>Rådatakommune[[#This Row],[B17-O]]/Rådatakommune[[#This Row],[B07-O]]-1</f>
        <v>7.0835368832438128E-3</v>
      </c>
      <c r="Q218" s="32">
        <f>Rådatakommune[[#This Row],[Kvinner20-39-O]]/Rådatakommune[[#This Row],[B17-O]]</f>
        <v>0.1118117875333495</v>
      </c>
      <c r="R218" s="32">
        <f>Rådatakommune[[#This Row],[Eldre67+-O]]/Rådatakommune[[#This Row],[B17-O]]</f>
        <v>0.18991025951976717</v>
      </c>
      <c r="S218" s="32">
        <f>Rådatakommune[[#This Row],[S16-O]]/Rådatakommune[[#This Row],[S06-O]]-1</f>
        <v>-0.21606118546845121</v>
      </c>
      <c r="T218" s="32">
        <f>Rådatakommune[[#This Row],[Y16-O]]/Rådatakommune[[#This Row],[Folk20-64-O]]</f>
        <v>0.81117957746478875</v>
      </c>
    </row>
    <row r="219" spans="1:20" x14ac:dyDescent="0.25">
      <c r="A219" s="2" t="s">
        <v>214</v>
      </c>
      <c r="B219" s="2">
        <v>218</v>
      </c>
      <c r="C219" s="35">
        <v>356</v>
      </c>
      <c r="D219" s="34">
        <v>383</v>
      </c>
      <c r="E219" s="31">
        <v>175</v>
      </c>
      <c r="F219" s="36">
        <v>62</v>
      </c>
      <c r="G219" s="37">
        <v>44</v>
      </c>
      <c r="H219">
        <v>212</v>
      </c>
      <c r="I219" s="31">
        <v>215</v>
      </c>
      <c r="J219" s="31">
        <v>228</v>
      </c>
      <c r="K219" s="7">
        <v>411.98999999999995</v>
      </c>
      <c r="L219" s="38">
        <v>448100</v>
      </c>
      <c r="M219" s="39">
        <v>232.375</v>
      </c>
      <c r="N219">
        <v>5</v>
      </c>
      <c r="O219" s="30">
        <f>Rådatakommune[[#This Row],[B17-O]]/Rådatakommune[[#This Row],[Totalareal2017-O]]</f>
        <v>0.92963421442268024</v>
      </c>
      <c r="P219" s="32">
        <f>Rådatakommune[[#This Row],[B17-O]]/Rådatakommune[[#This Row],[B07-O]]-1</f>
        <v>7.5842696629213391E-2</v>
      </c>
      <c r="Q219" s="32">
        <f>Rådatakommune[[#This Row],[Kvinner20-39-O]]/Rådatakommune[[#This Row],[B17-O]]</f>
        <v>0.11488250652741515</v>
      </c>
      <c r="R219" s="32">
        <f>Rådatakommune[[#This Row],[Eldre67+-O]]/Rådatakommune[[#This Row],[B17-O]]</f>
        <v>0.16187989556135771</v>
      </c>
      <c r="S219" s="32">
        <f>Rådatakommune[[#This Row],[S16-O]]/Rådatakommune[[#This Row],[S06-O]]-1</f>
        <v>6.0465116279069697E-2</v>
      </c>
      <c r="T219" s="32">
        <f>Rådatakommune[[#This Row],[Y16-O]]/Rådatakommune[[#This Row],[Folk20-64-O]]</f>
        <v>0.82547169811320753</v>
      </c>
    </row>
    <row r="220" spans="1:20" x14ac:dyDescent="0.25">
      <c r="A220" s="2" t="s">
        <v>215</v>
      </c>
      <c r="B220" s="2">
        <v>219</v>
      </c>
      <c r="C220" s="35">
        <v>7186</v>
      </c>
      <c r="D220" s="34">
        <v>8026</v>
      </c>
      <c r="E220" s="31">
        <v>3967</v>
      </c>
      <c r="F220" s="36">
        <v>1245</v>
      </c>
      <c r="G220" s="37">
        <v>969</v>
      </c>
      <c r="H220">
        <v>4490</v>
      </c>
      <c r="I220" s="31">
        <v>2535</v>
      </c>
      <c r="J220" s="31">
        <v>2698</v>
      </c>
      <c r="K220" s="7">
        <v>255.12</v>
      </c>
      <c r="L220" s="38">
        <v>401300</v>
      </c>
      <c r="M220" s="39">
        <v>190.34375</v>
      </c>
      <c r="N220">
        <v>1</v>
      </c>
      <c r="O220" s="30">
        <f>Rådatakommune[[#This Row],[B17-O]]/Rådatakommune[[#This Row],[Totalareal2017-O]]</f>
        <v>31.459705236751333</v>
      </c>
      <c r="P220" s="32">
        <f>Rådatakommune[[#This Row],[B17-O]]/Rådatakommune[[#This Row],[B07-O]]-1</f>
        <v>0.1168939604787087</v>
      </c>
      <c r="Q220" s="32">
        <f>Rådatakommune[[#This Row],[Kvinner20-39-O]]/Rådatakommune[[#This Row],[B17-O]]</f>
        <v>0.12073261898828806</v>
      </c>
      <c r="R220" s="32">
        <f>Rådatakommune[[#This Row],[Eldre67+-O]]/Rådatakommune[[#This Row],[B17-O]]</f>
        <v>0.15512085721405433</v>
      </c>
      <c r="S220" s="32">
        <f>Rådatakommune[[#This Row],[S16-O]]/Rådatakommune[[#This Row],[S06-O]]-1</f>
        <v>6.4299802761341285E-2</v>
      </c>
      <c r="T220" s="32">
        <f>Rådatakommune[[#This Row],[Y16-O]]/Rådatakommune[[#This Row],[Folk20-64-O]]</f>
        <v>0.88351893095768375</v>
      </c>
    </row>
    <row r="221" spans="1:20" x14ac:dyDescent="0.25">
      <c r="A221" s="2" t="s">
        <v>216</v>
      </c>
      <c r="B221" s="2">
        <v>220</v>
      </c>
      <c r="C221" s="35">
        <v>6016</v>
      </c>
      <c r="D221" s="34">
        <v>8021</v>
      </c>
      <c r="E221" s="31">
        <v>3922</v>
      </c>
      <c r="F221" s="36">
        <v>919</v>
      </c>
      <c r="G221" s="37">
        <v>1041</v>
      </c>
      <c r="H221">
        <v>4560</v>
      </c>
      <c r="I221" s="31">
        <v>1797</v>
      </c>
      <c r="J221" s="31">
        <v>2156</v>
      </c>
      <c r="K221" s="7">
        <v>92.58</v>
      </c>
      <c r="L221" s="38">
        <v>433800</v>
      </c>
      <c r="M221" s="39">
        <v>188.65625</v>
      </c>
      <c r="N221">
        <v>1</v>
      </c>
      <c r="O221" s="30">
        <f>Rådatakommune[[#This Row],[B17-O]]/Rådatakommune[[#This Row],[Totalareal2017-O]]</f>
        <v>86.63858284726723</v>
      </c>
      <c r="P221" s="32">
        <f>Rådatakommune[[#This Row],[B17-O]]/Rådatakommune[[#This Row],[B07-O]]-1</f>
        <v>0.33327792553191493</v>
      </c>
      <c r="Q221" s="32">
        <f>Rådatakommune[[#This Row],[Kvinner20-39-O]]/Rådatakommune[[#This Row],[B17-O]]</f>
        <v>0.12978431617005362</v>
      </c>
      <c r="R221" s="32">
        <f>Rådatakommune[[#This Row],[Eldre67+-O]]/Rådatakommune[[#This Row],[B17-O]]</f>
        <v>0.1145742426131405</v>
      </c>
      <c r="S221" s="32">
        <f>Rådatakommune[[#This Row],[S16-O]]/Rådatakommune[[#This Row],[S06-O]]-1</f>
        <v>0.19977740678909295</v>
      </c>
      <c r="T221" s="32">
        <f>Rådatakommune[[#This Row],[Y16-O]]/Rådatakommune[[#This Row],[Folk20-64-O]]</f>
        <v>0.86008771929824557</v>
      </c>
    </row>
    <row r="222" spans="1:20" x14ac:dyDescent="0.25">
      <c r="A222" s="2" t="s">
        <v>217</v>
      </c>
      <c r="B222" s="2">
        <v>221</v>
      </c>
      <c r="C222" s="35">
        <v>4134</v>
      </c>
      <c r="D222" s="34">
        <v>4913</v>
      </c>
      <c r="E222" s="31">
        <v>2191</v>
      </c>
      <c r="F222" s="36">
        <v>664</v>
      </c>
      <c r="G222" s="37">
        <v>576</v>
      </c>
      <c r="H222">
        <v>2749</v>
      </c>
      <c r="I222" s="31">
        <v>1267</v>
      </c>
      <c r="J222" s="31">
        <v>1604</v>
      </c>
      <c r="K222" s="7">
        <v>66.8</v>
      </c>
      <c r="L222" s="38">
        <v>435000</v>
      </c>
      <c r="M222" s="39">
        <v>200.09375</v>
      </c>
      <c r="N222">
        <v>1</v>
      </c>
      <c r="O222" s="30">
        <f>Rådatakommune[[#This Row],[B17-O]]/Rådatakommune[[#This Row],[Totalareal2017-O]]</f>
        <v>73.547904191616766</v>
      </c>
      <c r="P222" s="32">
        <f>Rådatakommune[[#This Row],[B17-O]]/Rådatakommune[[#This Row],[B07-O]]-1</f>
        <v>0.18843734881470731</v>
      </c>
      <c r="Q222" s="32">
        <f>Rådatakommune[[#This Row],[Kvinner20-39-O]]/Rådatakommune[[#This Row],[B17-O]]</f>
        <v>0.1172399755750051</v>
      </c>
      <c r="R222" s="32">
        <f>Rådatakommune[[#This Row],[Eldre67+-O]]/Rådatakommune[[#This Row],[B17-O]]</f>
        <v>0.13515163851007531</v>
      </c>
      <c r="S222" s="32">
        <f>Rådatakommune[[#This Row],[S16-O]]/Rådatakommune[[#This Row],[S06-O]]-1</f>
        <v>0.26598263614838191</v>
      </c>
      <c r="T222" s="32">
        <f>Rådatakommune[[#This Row],[Y16-O]]/Rådatakommune[[#This Row],[Folk20-64-O]]</f>
        <v>0.7970170971262277</v>
      </c>
    </row>
    <row r="223" spans="1:20" x14ac:dyDescent="0.25">
      <c r="A223" s="2" t="s">
        <v>218</v>
      </c>
      <c r="B223" s="2">
        <v>222</v>
      </c>
      <c r="C223" s="35">
        <v>4658</v>
      </c>
      <c r="D223" s="34">
        <v>5128</v>
      </c>
      <c r="E223" s="31">
        <v>2440</v>
      </c>
      <c r="F223" s="36">
        <v>794</v>
      </c>
      <c r="G223" s="37">
        <v>577</v>
      </c>
      <c r="H223">
        <v>2935</v>
      </c>
      <c r="I223" s="31">
        <v>1555</v>
      </c>
      <c r="J223" s="31">
        <v>1463</v>
      </c>
      <c r="K223" s="7">
        <v>111.44</v>
      </c>
      <c r="L223" s="38">
        <v>402900</v>
      </c>
      <c r="M223" s="39">
        <v>209.6875</v>
      </c>
      <c r="N223">
        <v>1</v>
      </c>
      <c r="O223" s="30">
        <f>Rådatakommune[[#This Row],[B17-O]]/Rådatakommune[[#This Row],[Totalareal2017-O]]</f>
        <v>46.015793251974159</v>
      </c>
      <c r="P223" s="32">
        <f>Rådatakommune[[#This Row],[B17-O]]/Rådatakommune[[#This Row],[B07-O]]-1</f>
        <v>0.10090167453842858</v>
      </c>
      <c r="Q223" s="32">
        <f>Rådatakommune[[#This Row],[Kvinner20-39-O]]/Rådatakommune[[#This Row],[B17-O]]</f>
        <v>0.1125195007800312</v>
      </c>
      <c r="R223" s="32">
        <f>Rådatakommune[[#This Row],[Eldre67+-O]]/Rådatakommune[[#This Row],[B17-O]]</f>
        <v>0.15483619344773791</v>
      </c>
      <c r="S223" s="32">
        <f>Rådatakommune[[#This Row],[S16-O]]/Rådatakommune[[#This Row],[S06-O]]-1</f>
        <v>-5.9163987138263652E-2</v>
      </c>
      <c r="T223" s="32">
        <f>Rådatakommune[[#This Row],[Y16-O]]/Rådatakommune[[#This Row],[Folk20-64-O]]</f>
        <v>0.83134582623509368</v>
      </c>
    </row>
    <row r="224" spans="1:20" x14ac:dyDescent="0.25">
      <c r="A224" s="2" t="s">
        <v>219</v>
      </c>
      <c r="B224" s="2">
        <v>223</v>
      </c>
      <c r="C224" s="35">
        <v>13594</v>
      </c>
      <c r="D224" s="34">
        <v>15731</v>
      </c>
      <c r="E224" s="31">
        <v>7556</v>
      </c>
      <c r="F224" s="36">
        <v>2290</v>
      </c>
      <c r="G224" s="37">
        <v>1842</v>
      </c>
      <c r="H224">
        <v>8779</v>
      </c>
      <c r="I224" s="31">
        <v>5979</v>
      </c>
      <c r="J224" s="31">
        <v>6742</v>
      </c>
      <c r="K224" s="7">
        <v>474.99</v>
      </c>
      <c r="L224" s="38">
        <v>437700</v>
      </c>
      <c r="M224" s="39">
        <v>189.4375</v>
      </c>
      <c r="N224">
        <v>1</v>
      </c>
      <c r="O224" s="30">
        <f>Rådatakommune[[#This Row],[B17-O]]/Rådatakommune[[#This Row],[Totalareal2017-O]]</f>
        <v>33.118591970357272</v>
      </c>
      <c r="P224" s="32">
        <f>Rådatakommune[[#This Row],[B17-O]]/Rådatakommune[[#This Row],[B07-O]]-1</f>
        <v>0.15720170663528021</v>
      </c>
      <c r="Q224" s="32">
        <f>Rådatakommune[[#This Row],[Kvinner20-39-O]]/Rådatakommune[[#This Row],[B17-O]]</f>
        <v>0.11709363676816477</v>
      </c>
      <c r="R224" s="32">
        <f>Rådatakommune[[#This Row],[Eldre67+-O]]/Rådatakommune[[#This Row],[B17-O]]</f>
        <v>0.14557243659017227</v>
      </c>
      <c r="S224" s="32">
        <f>Rådatakommune[[#This Row],[S16-O]]/Rådatakommune[[#This Row],[S06-O]]-1</f>
        <v>0.12761331326308745</v>
      </c>
      <c r="T224" s="32">
        <f>Rådatakommune[[#This Row],[Y16-O]]/Rådatakommune[[#This Row],[Folk20-64-O]]</f>
        <v>0.8606902836313931</v>
      </c>
    </row>
    <row r="225" spans="1:20" x14ac:dyDescent="0.25">
      <c r="A225" s="2" t="s">
        <v>220</v>
      </c>
      <c r="B225" s="2">
        <v>224</v>
      </c>
      <c r="C225" s="35">
        <v>2520</v>
      </c>
      <c r="D225" s="34">
        <v>2884</v>
      </c>
      <c r="E225" s="31">
        <v>1328</v>
      </c>
      <c r="F225" s="36">
        <v>518</v>
      </c>
      <c r="G225" s="37">
        <v>306</v>
      </c>
      <c r="H225">
        <v>1570</v>
      </c>
      <c r="I225" s="31">
        <v>977</v>
      </c>
      <c r="J225" s="31">
        <v>1071</v>
      </c>
      <c r="K225" s="7">
        <v>57.55</v>
      </c>
      <c r="L225" s="38">
        <v>465900</v>
      </c>
      <c r="M225" s="39">
        <v>223.28125</v>
      </c>
      <c r="N225">
        <v>1</v>
      </c>
      <c r="O225" s="30">
        <f>Rådatakommune[[#This Row],[B17-O]]/Rådatakommune[[#This Row],[Totalareal2017-O]]</f>
        <v>50.112945264986969</v>
      </c>
      <c r="P225" s="32">
        <f>Rådatakommune[[#This Row],[B17-O]]/Rådatakommune[[#This Row],[B07-O]]-1</f>
        <v>0.14444444444444438</v>
      </c>
      <c r="Q225" s="32">
        <f>Rådatakommune[[#This Row],[Kvinner20-39-O]]/Rådatakommune[[#This Row],[B17-O]]</f>
        <v>0.10610263522884882</v>
      </c>
      <c r="R225" s="32">
        <f>Rådatakommune[[#This Row],[Eldre67+-O]]/Rådatakommune[[#This Row],[B17-O]]</f>
        <v>0.1796116504854369</v>
      </c>
      <c r="S225" s="32">
        <f>Rådatakommune[[#This Row],[S16-O]]/Rådatakommune[[#This Row],[S06-O]]-1</f>
        <v>9.6212896622313249E-2</v>
      </c>
      <c r="T225" s="32">
        <f>Rådatakommune[[#This Row],[Y16-O]]/Rådatakommune[[#This Row],[Folk20-64-O]]</f>
        <v>0.845859872611465</v>
      </c>
    </row>
    <row r="226" spans="1:20" x14ac:dyDescent="0.25">
      <c r="A226" s="2" t="s">
        <v>221</v>
      </c>
      <c r="B226" s="2">
        <v>225</v>
      </c>
      <c r="C226" s="35">
        <v>620</v>
      </c>
      <c r="D226" s="34">
        <v>587</v>
      </c>
      <c r="E226" s="31">
        <v>253</v>
      </c>
      <c r="F226" s="36">
        <v>123</v>
      </c>
      <c r="G226" s="37">
        <v>47</v>
      </c>
      <c r="H226">
        <v>301</v>
      </c>
      <c r="I226" s="31">
        <v>261</v>
      </c>
      <c r="J226" s="31">
        <v>211</v>
      </c>
      <c r="K226" s="7">
        <v>9.2799999999999994</v>
      </c>
      <c r="L226" s="38">
        <v>405900</v>
      </c>
      <c r="M226" s="39">
        <v>264.0625</v>
      </c>
      <c r="N226">
        <v>11</v>
      </c>
      <c r="O226" s="30">
        <f>Rådatakommune[[#This Row],[B17-O]]/Rådatakommune[[#This Row],[Totalareal2017-O]]</f>
        <v>63.254310344827587</v>
      </c>
      <c r="P226" s="32">
        <f>Rådatakommune[[#This Row],[B17-O]]/Rådatakommune[[#This Row],[B07-O]]-1</f>
        <v>-5.32258064516129E-2</v>
      </c>
      <c r="Q226" s="32">
        <f>Rådatakommune[[#This Row],[Kvinner20-39-O]]/Rådatakommune[[#This Row],[B17-O]]</f>
        <v>8.006814310051108E-2</v>
      </c>
      <c r="R226" s="32">
        <f>Rådatakommune[[#This Row],[Eldre67+-O]]/Rådatakommune[[#This Row],[B17-O]]</f>
        <v>0.20954003407155025</v>
      </c>
      <c r="S226" s="32">
        <f>Rådatakommune[[#This Row],[S16-O]]/Rådatakommune[[#This Row],[S06-O]]-1</f>
        <v>-0.19157088122605359</v>
      </c>
      <c r="T226" s="32">
        <f>Rådatakommune[[#This Row],[Y16-O]]/Rådatakommune[[#This Row],[Folk20-64-O]]</f>
        <v>0.84053156146179397</v>
      </c>
    </row>
    <row r="227" spans="1:20" x14ac:dyDescent="0.25">
      <c r="A227" s="2" t="s">
        <v>222</v>
      </c>
      <c r="B227" s="2">
        <v>226</v>
      </c>
      <c r="C227" s="35">
        <v>1631</v>
      </c>
      <c r="D227" s="34">
        <v>1710</v>
      </c>
      <c r="E227" s="31">
        <v>848</v>
      </c>
      <c r="F227" s="36">
        <v>350</v>
      </c>
      <c r="G227" s="37">
        <v>167</v>
      </c>
      <c r="H227">
        <v>898</v>
      </c>
      <c r="I227" s="31">
        <v>560</v>
      </c>
      <c r="J227" s="31">
        <v>599</v>
      </c>
      <c r="K227" s="7">
        <v>556.07000000000005</v>
      </c>
      <c r="L227" s="38">
        <v>426300</v>
      </c>
      <c r="M227" s="39">
        <v>230.96875</v>
      </c>
      <c r="N227">
        <v>5</v>
      </c>
      <c r="O227" s="30">
        <f>Rådatakommune[[#This Row],[B17-O]]/Rådatakommune[[#This Row],[Totalareal2017-O]]</f>
        <v>3.0751524088693865</v>
      </c>
      <c r="P227" s="32">
        <f>Rådatakommune[[#This Row],[B17-O]]/Rådatakommune[[#This Row],[B07-O]]-1</f>
        <v>4.8436541998773786E-2</v>
      </c>
      <c r="Q227" s="32">
        <f>Rådatakommune[[#This Row],[Kvinner20-39-O]]/Rådatakommune[[#This Row],[B17-O]]</f>
        <v>9.7660818713450295E-2</v>
      </c>
      <c r="R227" s="32">
        <f>Rådatakommune[[#This Row],[Eldre67+-O]]/Rådatakommune[[#This Row],[B17-O]]</f>
        <v>0.2046783625730994</v>
      </c>
      <c r="S227" s="32">
        <f>Rådatakommune[[#This Row],[S16-O]]/Rådatakommune[[#This Row],[S06-O]]-1</f>
        <v>6.9642857142857117E-2</v>
      </c>
      <c r="T227" s="32">
        <f>Rådatakommune[[#This Row],[Y16-O]]/Rådatakommune[[#This Row],[Folk20-64-O]]</f>
        <v>0.9443207126948775</v>
      </c>
    </row>
    <row r="228" spans="1:20" x14ac:dyDescent="0.25">
      <c r="A228" s="2" t="s">
        <v>223</v>
      </c>
      <c r="B228" s="2">
        <v>227</v>
      </c>
      <c r="C228" s="35">
        <v>11341</v>
      </c>
      <c r="D228" s="34">
        <v>11999</v>
      </c>
      <c r="E228" s="31">
        <v>6013</v>
      </c>
      <c r="F228" s="36">
        <v>1628</v>
      </c>
      <c r="G228" s="37">
        <v>1418</v>
      </c>
      <c r="H228">
        <v>6985</v>
      </c>
      <c r="I228" s="31">
        <v>5344</v>
      </c>
      <c r="J228" s="31">
        <v>5560</v>
      </c>
      <c r="K228" s="7">
        <v>693.32999999999993</v>
      </c>
      <c r="L228" s="38">
        <v>439700</v>
      </c>
      <c r="M228" s="39">
        <v>167.8125</v>
      </c>
      <c r="N228">
        <v>7</v>
      </c>
      <c r="O228" s="30">
        <f>Rådatakommune[[#This Row],[B17-O]]/Rådatakommune[[#This Row],[Totalareal2017-O]]</f>
        <v>17.306333203525018</v>
      </c>
      <c r="P228" s="32">
        <f>Rådatakommune[[#This Row],[B17-O]]/Rådatakommune[[#This Row],[B07-O]]-1</f>
        <v>5.8019574993386724E-2</v>
      </c>
      <c r="Q228" s="32">
        <f>Rådatakommune[[#This Row],[Kvinner20-39-O]]/Rådatakommune[[#This Row],[B17-O]]</f>
        <v>0.11817651470955913</v>
      </c>
      <c r="R228" s="32">
        <f>Rådatakommune[[#This Row],[Eldre67+-O]]/Rådatakommune[[#This Row],[B17-O]]</f>
        <v>0.13567797316443037</v>
      </c>
      <c r="S228" s="32">
        <f>Rådatakommune[[#This Row],[S16-O]]/Rådatakommune[[#This Row],[S06-O]]-1</f>
        <v>4.041916167664672E-2</v>
      </c>
      <c r="T228" s="32">
        <f>Rådatakommune[[#This Row],[Y16-O]]/Rådatakommune[[#This Row],[Folk20-64-O]]</f>
        <v>0.86084466714387975</v>
      </c>
    </row>
    <row r="229" spans="1:20" x14ac:dyDescent="0.25">
      <c r="A229" s="2" t="s">
        <v>224</v>
      </c>
      <c r="B229" s="2">
        <v>228</v>
      </c>
      <c r="C229" s="35">
        <v>2406</v>
      </c>
      <c r="D229" s="34">
        <v>2371</v>
      </c>
      <c r="E229" s="31">
        <v>1226</v>
      </c>
      <c r="F229" s="36">
        <v>473</v>
      </c>
      <c r="G229" s="37">
        <v>260</v>
      </c>
      <c r="H229">
        <v>1292</v>
      </c>
      <c r="I229" s="31">
        <v>1130</v>
      </c>
      <c r="J229" s="31">
        <v>1246</v>
      </c>
      <c r="K229" s="7">
        <v>597.21</v>
      </c>
      <c r="L229" s="38">
        <v>426300</v>
      </c>
      <c r="M229" s="39">
        <v>267.25</v>
      </c>
      <c r="N229">
        <v>11</v>
      </c>
      <c r="O229" s="30">
        <f>Rådatakommune[[#This Row],[B17-O]]/Rådatakommune[[#This Row],[Totalareal2017-O]]</f>
        <v>3.9701277607541732</v>
      </c>
      <c r="P229" s="32">
        <f>Rådatakommune[[#This Row],[B17-O]]/Rådatakommune[[#This Row],[B07-O]]-1</f>
        <v>-1.4546965918536992E-2</v>
      </c>
      <c r="Q229" s="32">
        <f>Rådatakommune[[#This Row],[Kvinner20-39-O]]/Rådatakommune[[#This Row],[B17-O]]</f>
        <v>0.10965837199493884</v>
      </c>
      <c r="R229" s="32">
        <f>Rådatakommune[[#This Row],[Eldre67+-O]]/Rådatakommune[[#This Row],[B17-O]]</f>
        <v>0.19949388443694643</v>
      </c>
      <c r="S229" s="32">
        <f>Rådatakommune[[#This Row],[S16-O]]/Rådatakommune[[#This Row],[S06-O]]-1</f>
        <v>0.10265486725663719</v>
      </c>
      <c r="T229" s="32">
        <f>Rådatakommune[[#This Row],[Y16-O]]/Rådatakommune[[#This Row],[Folk20-64-O]]</f>
        <v>0.94891640866873062</v>
      </c>
    </row>
    <row r="230" spans="1:20" x14ac:dyDescent="0.25">
      <c r="A230" s="2" t="s">
        <v>225</v>
      </c>
      <c r="B230" s="2">
        <v>229</v>
      </c>
      <c r="C230" s="35">
        <v>871</v>
      </c>
      <c r="D230" s="34">
        <v>794</v>
      </c>
      <c r="E230" s="31">
        <v>393</v>
      </c>
      <c r="F230" s="36">
        <v>174</v>
      </c>
      <c r="G230" s="37">
        <v>69</v>
      </c>
      <c r="H230">
        <v>436</v>
      </c>
      <c r="I230" s="31">
        <v>391</v>
      </c>
      <c r="J230" s="31">
        <v>345</v>
      </c>
      <c r="K230" s="7">
        <v>228.25</v>
      </c>
      <c r="L230" s="38">
        <v>403800</v>
      </c>
      <c r="M230" s="39">
        <v>319.1875</v>
      </c>
      <c r="N230">
        <v>11</v>
      </c>
      <c r="O230" s="30">
        <f>Rådatakommune[[#This Row],[B17-O]]/Rådatakommune[[#This Row],[Totalareal2017-O]]</f>
        <v>3.4786418400876231</v>
      </c>
      <c r="P230" s="32">
        <f>Rådatakommune[[#This Row],[B17-O]]/Rådatakommune[[#This Row],[B07-O]]-1</f>
        <v>-8.8404133180252531E-2</v>
      </c>
      <c r="Q230" s="32">
        <f>Rådatakommune[[#This Row],[Kvinner20-39-O]]/Rådatakommune[[#This Row],[B17-O]]</f>
        <v>8.6901763224181361E-2</v>
      </c>
      <c r="R230" s="32">
        <f>Rådatakommune[[#This Row],[Eldre67+-O]]/Rådatakommune[[#This Row],[B17-O]]</f>
        <v>0.21914357682619648</v>
      </c>
      <c r="S230" s="32">
        <f>Rådatakommune[[#This Row],[S16-O]]/Rådatakommune[[#This Row],[S06-O]]-1</f>
        <v>-0.11764705882352944</v>
      </c>
      <c r="T230" s="32">
        <f>Rådatakommune[[#This Row],[Y16-O]]/Rådatakommune[[#This Row],[Folk20-64-O]]</f>
        <v>0.90137614678899081</v>
      </c>
    </row>
    <row r="231" spans="1:20" x14ac:dyDescent="0.25">
      <c r="A231" s="2" t="s">
        <v>226</v>
      </c>
      <c r="B231" s="2">
        <v>230</v>
      </c>
      <c r="C231" s="35">
        <v>1492</v>
      </c>
      <c r="D231" s="34">
        <v>1438</v>
      </c>
      <c r="E231" s="31">
        <v>704</v>
      </c>
      <c r="F231" s="36">
        <v>322</v>
      </c>
      <c r="G231" s="37">
        <v>119</v>
      </c>
      <c r="H231">
        <v>751</v>
      </c>
      <c r="I231" s="31">
        <v>708</v>
      </c>
      <c r="J231" s="31">
        <v>700</v>
      </c>
      <c r="K231" s="7">
        <v>258.91000000000003</v>
      </c>
      <c r="L231" s="38">
        <v>386300</v>
      </c>
      <c r="M231" s="39">
        <v>214.09375</v>
      </c>
      <c r="N231">
        <v>11</v>
      </c>
      <c r="O231" s="30">
        <f>Rådatakommune[[#This Row],[B17-O]]/Rådatakommune[[#This Row],[Totalareal2017-O]]</f>
        <v>5.5540535321154065</v>
      </c>
      <c r="P231" s="32">
        <f>Rådatakommune[[#This Row],[B17-O]]/Rådatakommune[[#This Row],[B07-O]]-1</f>
        <v>-3.6193029490616646E-2</v>
      </c>
      <c r="Q231" s="32">
        <f>Rådatakommune[[#This Row],[Kvinner20-39-O]]/Rådatakommune[[#This Row],[B17-O]]</f>
        <v>8.2753824756606392E-2</v>
      </c>
      <c r="R231" s="32">
        <f>Rådatakommune[[#This Row],[Eldre67+-O]]/Rådatakommune[[#This Row],[B17-O]]</f>
        <v>0.2239221140472879</v>
      </c>
      <c r="S231" s="32">
        <f>Rådatakommune[[#This Row],[S16-O]]/Rådatakommune[[#This Row],[S06-O]]-1</f>
        <v>-1.1299435028248594E-2</v>
      </c>
      <c r="T231" s="32">
        <f>Rådatakommune[[#This Row],[Y16-O]]/Rådatakommune[[#This Row],[Folk20-64-O]]</f>
        <v>0.93741677762982689</v>
      </c>
    </row>
    <row r="232" spans="1:20" x14ac:dyDescent="0.25">
      <c r="A232" s="2" t="s">
        <v>227</v>
      </c>
      <c r="B232" s="2">
        <v>231</v>
      </c>
      <c r="C232" s="35">
        <v>4420</v>
      </c>
      <c r="D232" s="34">
        <v>4190</v>
      </c>
      <c r="E232" s="31">
        <v>1943</v>
      </c>
      <c r="F232" s="36">
        <v>772</v>
      </c>
      <c r="G232" s="37">
        <v>411</v>
      </c>
      <c r="H232">
        <v>2336</v>
      </c>
      <c r="I232" s="31">
        <v>2146</v>
      </c>
      <c r="J232" s="31">
        <v>1684</v>
      </c>
      <c r="K232" s="7">
        <v>907.65</v>
      </c>
      <c r="L232" s="38">
        <v>388000</v>
      </c>
      <c r="M232" s="39">
        <v>200.28125</v>
      </c>
      <c r="N232">
        <v>9</v>
      </c>
      <c r="O232" s="30">
        <f>Rådatakommune[[#This Row],[B17-O]]/Rådatakommune[[#This Row],[Totalareal2017-O]]</f>
        <v>4.6163168622266291</v>
      </c>
      <c r="P232" s="32">
        <f>Rådatakommune[[#This Row],[B17-O]]/Rådatakommune[[#This Row],[B07-O]]-1</f>
        <v>-5.2036199095022662E-2</v>
      </c>
      <c r="Q232" s="32">
        <f>Rådatakommune[[#This Row],[Kvinner20-39-O]]/Rådatakommune[[#This Row],[B17-O]]</f>
        <v>9.8090692124105011E-2</v>
      </c>
      <c r="R232" s="32">
        <f>Rådatakommune[[#This Row],[Eldre67+-O]]/Rådatakommune[[#This Row],[B17-O]]</f>
        <v>0.18424821002386635</v>
      </c>
      <c r="S232" s="32">
        <f>Rådatakommune[[#This Row],[S16-O]]/Rådatakommune[[#This Row],[S06-O]]-1</f>
        <v>-0.21528424976700844</v>
      </c>
      <c r="T232" s="32">
        <f>Rådatakommune[[#This Row],[Y16-O]]/Rådatakommune[[#This Row],[Folk20-64-O]]</f>
        <v>0.83176369863013699</v>
      </c>
    </row>
    <row r="233" spans="1:20" x14ac:dyDescent="0.25">
      <c r="A233" s="2" t="s">
        <v>228</v>
      </c>
      <c r="B233" s="2">
        <v>232</v>
      </c>
      <c r="C233" s="35">
        <v>2835</v>
      </c>
      <c r="D233" s="34">
        <v>2722</v>
      </c>
      <c r="E233" s="31">
        <v>1392</v>
      </c>
      <c r="F233" s="36">
        <v>609</v>
      </c>
      <c r="G233" s="37">
        <v>275</v>
      </c>
      <c r="H233">
        <v>1431</v>
      </c>
      <c r="I233" s="31">
        <v>1289</v>
      </c>
      <c r="J233" s="31">
        <v>1281</v>
      </c>
      <c r="K233" s="7">
        <v>833.33</v>
      </c>
      <c r="L233" s="38">
        <v>406500</v>
      </c>
      <c r="M233" s="39">
        <v>225.3125</v>
      </c>
      <c r="N233">
        <v>11</v>
      </c>
      <c r="O233" s="30">
        <f>Rådatakommune[[#This Row],[B17-O]]/Rådatakommune[[#This Row],[Totalareal2017-O]]</f>
        <v>3.2664130656522623</v>
      </c>
      <c r="P233" s="32">
        <f>Rådatakommune[[#This Row],[B17-O]]/Rådatakommune[[#This Row],[B07-O]]-1</f>
        <v>-3.9858906525573223E-2</v>
      </c>
      <c r="Q233" s="32">
        <f>Rådatakommune[[#This Row],[Kvinner20-39-O]]/Rådatakommune[[#This Row],[B17-O]]</f>
        <v>0.10102865540044086</v>
      </c>
      <c r="R233" s="32">
        <f>Rådatakommune[[#This Row],[Eldre67+-O]]/Rådatakommune[[#This Row],[B17-O]]</f>
        <v>0.22373254959588537</v>
      </c>
      <c r="S233" s="32">
        <f>Rådatakommune[[#This Row],[S16-O]]/Rådatakommune[[#This Row],[S06-O]]-1</f>
        <v>-6.2063615205585343E-3</v>
      </c>
      <c r="T233" s="32">
        <f>Rådatakommune[[#This Row],[Y16-O]]/Rådatakommune[[#This Row],[Folk20-64-O]]</f>
        <v>0.97274633123689724</v>
      </c>
    </row>
    <row r="234" spans="1:20" x14ac:dyDescent="0.25">
      <c r="A234" s="2" t="s">
        <v>229</v>
      </c>
      <c r="B234" s="2">
        <v>233</v>
      </c>
      <c r="C234" s="35">
        <v>1399</v>
      </c>
      <c r="D234" s="34">
        <v>1288</v>
      </c>
      <c r="E234" s="31">
        <v>684</v>
      </c>
      <c r="F234" s="36">
        <v>235</v>
      </c>
      <c r="G234" s="37">
        <v>144</v>
      </c>
      <c r="H234">
        <v>740</v>
      </c>
      <c r="I234" s="31">
        <v>604</v>
      </c>
      <c r="J234" s="31">
        <v>545</v>
      </c>
      <c r="K234" s="7">
        <v>429.67</v>
      </c>
      <c r="L234" s="38">
        <v>371200</v>
      </c>
      <c r="M234" s="39">
        <v>214.5</v>
      </c>
      <c r="N234">
        <v>9</v>
      </c>
      <c r="O234" s="30">
        <f>Rådatakommune[[#This Row],[B17-O]]/Rådatakommune[[#This Row],[Totalareal2017-O]]</f>
        <v>2.9976493588102495</v>
      </c>
      <c r="P234" s="32">
        <f>Rådatakommune[[#This Row],[B17-O]]/Rådatakommune[[#This Row],[B07-O]]-1</f>
        <v>-7.9342387419585436E-2</v>
      </c>
      <c r="Q234" s="32">
        <f>Rådatakommune[[#This Row],[Kvinner20-39-O]]/Rådatakommune[[#This Row],[B17-O]]</f>
        <v>0.11180124223602485</v>
      </c>
      <c r="R234" s="32">
        <f>Rådatakommune[[#This Row],[Eldre67+-O]]/Rådatakommune[[#This Row],[B17-O]]</f>
        <v>0.18245341614906832</v>
      </c>
      <c r="S234" s="32">
        <f>Rådatakommune[[#This Row],[S16-O]]/Rådatakommune[[#This Row],[S06-O]]-1</f>
        <v>-9.7682119205298013E-2</v>
      </c>
      <c r="T234" s="32">
        <f>Rådatakommune[[#This Row],[Y16-O]]/Rådatakommune[[#This Row],[Folk20-64-O]]</f>
        <v>0.92432432432432432</v>
      </c>
    </row>
    <row r="235" spans="1:20" x14ac:dyDescent="0.25">
      <c r="A235" s="2" t="s">
        <v>230</v>
      </c>
      <c r="B235" s="2">
        <v>234</v>
      </c>
      <c r="C235" s="35">
        <v>2199</v>
      </c>
      <c r="D235" s="34">
        <v>2332</v>
      </c>
      <c r="E235" s="31">
        <v>1189</v>
      </c>
      <c r="F235" s="36">
        <v>402</v>
      </c>
      <c r="G235" s="37">
        <v>254</v>
      </c>
      <c r="H235">
        <v>1275</v>
      </c>
      <c r="I235" s="31">
        <v>1327</v>
      </c>
      <c r="J235" s="31">
        <v>1671</v>
      </c>
      <c r="K235" s="7">
        <v>180.1</v>
      </c>
      <c r="L235" s="38">
        <v>439400</v>
      </c>
      <c r="M235" s="39">
        <v>180.71875</v>
      </c>
      <c r="N235">
        <v>8</v>
      </c>
      <c r="O235" s="30">
        <f>Rådatakommune[[#This Row],[B17-O]]/Rådatakommune[[#This Row],[Totalareal2017-O]]</f>
        <v>12.94836202109939</v>
      </c>
      <c r="P235" s="32">
        <f>Rådatakommune[[#This Row],[B17-O]]/Rådatakommune[[#This Row],[B07-O]]-1</f>
        <v>6.0482037289677049E-2</v>
      </c>
      <c r="Q235" s="32">
        <f>Rådatakommune[[#This Row],[Kvinner20-39-O]]/Rådatakommune[[#This Row],[B17-O]]</f>
        <v>0.10891938250428816</v>
      </c>
      <c r="R235" s="32">
        <f>Rådatakommune[[#This Row],[Eldre67+-O]]/Rådatakommune[[#This Row],[B17-O]]</f>
        <v>0.17238421955403088</v>
      </c>
      <c r="S235" s="32">
        <f>Rådatakommune[[#This Row],[S16-O]]/Rådatakommune[[#This Row],[S06-O]]-1</f>
        <v>0.2592313489073097</v>
      </c>
      <c r="T235" s="32">
        <f>Rådatakommune[[#This Row],[Y16-O]]/Rådatakommune[[#This Row],[Folk20-64-O]]</f>
        <v>0.93254901960784309</v>
      </c>
    </row>
    <row r="236" spans="1:20" x14ac:dyDescent="0.25">
      <c r="A236" s="2" t="s">
        <v>231</v>
      </c>
      <c r="B236" s="2">
        <v>235</v>
      </c>
      <c r="C236" s="35">
        <v>6822</v>
      </c>
      <c r="D236" s="34">
        <v>7941</v>
      </c>
      <c r="E236" s="31">
        <v>4269</v>
      </c>
      <c r="F236" s="36">
        <v>1122</v>
      </c>
      <c r="G236" s="37">
        <v>1151</v>
      </c>
      <c r="H236">
        <v>4713</v>
      </c>
      <c r="I236" s="31">
        <v>3872</v>
      </c>
      <c r="J236" s="31">
        <v>4524</v>
      </c>
      <c r="K236" s="7">
        <v>745.84</v>
      </c>
      <c r="L236" s="38">
        <v>401900</v>
      </c>
      <c r="M236" s="39">
        <v>163.875</v>
      </c>
      <c r="N236">
        <v>8</v>
      </c>
      <c r="O236" s="30">
        <f>Rådatakommune[[#This Row],[B17-O]]/Rådatakommune[[#This Row],[Totalareal2017-O]]</f>
        <v>10.647055668776144</v>
      </c>
      <c r="P236" s="32">
        <f>Rådatakommune[[#This Row],[B17-O]]/Rådatakommune[[#This Row],[B07-O]]-1</f>
        <v>0.16402814423922596</v>
      </c>
      <c r="Q236" s="32">
        <f>Rådatakommune[[#This Row],[Kvinner20-39-O]]/Rådatakommune[[#This Row],[B17-O]]</f>
        <v>0.1449439617176678</v>
      </c>
      <c r="R236" s="32">
        <f>Rådatakommune[[#This Row],[Eldre67+-O]]/Rådatakommune[[#This Row],[B17-O]]</f>
        <v>0.14129202871174915</v>
      </c>
      <c r="S236" s="32">
        <f>Rådatakommune[[#This Row],[S16-O]]/Rådatakommune[[#This Row],[S06-O]]-1</f>
        <v>0.16838842975206614</v>
      </c>
      <c r="T236" s="32">
        <f>Rådatakommune[[#This Row],[Y16-O]]/Rådatakommune[[#This Row],[Folk20-64-O]]</f>
        <v>0.90579248886059838</v>
      </c>
    </row>
    <row r="237" spans="1:20" x14ac:dyDescent="0.25">
      <c r="A237" s="2" t="s">
        <v>232</v>
      </c>
      <c r="B237" s="2">
        <v>236</v>
      </c>
      <c r="C237" s="35">
        <v>1715</v>
      </c>
      <c r="D237" s="34">
        <v>1787</v>
      </c>
      <c r="E237" s="31">
        <v>942</v>
      </c>
      <c r="F237" s="36">
        <v>336</v>
      </c>
      <c r="G237" s="37">
        <v>231</v>
      </c>
      <c r="H237">
        <v>1054</v>
      </c>
      <c r="I237" s="31">
        <v>806</v>
      </c>
      <c r="J237" s="31">
        <v>886</v>
      </c>
      <c r="K237" s="7">
        <v>1467.69</v>
      </c>
      <c r="L237" s="38">
        <v>400500</v>
      </c>
      <c r="M237" s="39">
        <v>210.09375</v>
      </c>
      <c r="N237">
        <v>11</v>
      </c>
      <c r="O237" s="30">
        <f>Rådatakommune[[#This Row],[B17-O]]/Rådatakommune[[#This Row],[Totalareal2017-O]]</f>
        <v>1.2175595663934482</v>
      </c>
      <c r="P237" s="32">
        <f>Rådatakommune[[#This Row],[B17-O]]/Rådatakommune[[#This Row],[B07-O]]-1</f>
        <v>4.1982507288629733E-2</v>
      </c>
      <c r="Q237" s="32">
        <f>Rådatakommune[[#This Row],[Kvinner20-39-O]]/Rådatakommune[[#This Row],[B17-O]]</f>
        <v>0.12926692781197538</v>
      </c>
      <c r="R237" s="32">
        <f>Rådatakommune[[#This Row],[Eldre67+-O]]/Rådatakommune[[#This Row],[B17-O]]</f>
        <v>0.18802462227196418</v>
      </c>
      <c r="S237" s="32">
        <f>Rådatakommune[[#This Row],[S16-O]]/Rådatakommune[[#This Row],[S06-O]]-1</f>
        <v>9.9255583126550917E-2</v>
      </c>
      <c r="T237" s="32">
        <f>Rådatakommune[[#This Row],[Y16-O]]/Rådatakommune[[#This Row],[Folk20-64-O]]</f>
        <v>0.89373814041745736</v>
      </c>
    </row>
    <row r="238" spans="1:20" x14ac:dyDescent="0.25">
      <c r="A238" s="2" t="s">
        <v>233</v>
      </c>
      <c r="B238" s="2">
        <v>237</v>
      </c>
      <c r="C238" s="35">
        <v>2153</v>
      </c>
      <c r="D238" s="34">
        <v>2159</v>
      </c>
      <c r="E238" s="31">
        <v>1109</v>
      </c>
      <c r="F238" s="36">
        <v>420</v>
      </c>
      <c r="G238" s="37">
        <v>197</v>
      </c>
      <c r="H238">
        <v>1199</v>
      </c>
      <c r="I238" s="31">
        <v>1053</v>
      </c>
      <c r="J238" s="31">
        <v>1037</v>
      </c>
      <c r="K238" s="7">
        <v>1342.48</v>
      </c>
      <c r="L238" s="38">
        <v>398900</v>
      </c>
      <c r="M238" s="39">
        <v>184.59375</v>
      </c>
      <c r="N238">
        <v>9</v>
      </c>
      <c r="O238" s="30">
        <f>Rådatakommune[[#This Row],[B17-O]]/Rådatakommune[[#This Row],[Totalareal2017-O]]</f>
        <v>1.6082176270782433</v>
      </c>
      <c r="P238" s="32">
        <f>Rådatakommune[[#This Row],[B17-O]]/Rådatakommune[[#This Row],[B07-O]]-1</f>
        <v>2.7868091035763154E-3</v>
      </c>
      <c r="Q238" s="32">
        <f>Rådatakommune[[#This Row],[Kvinner20-39-O]]/Rådatakommune[[#This Row],[B17-O]]</f>
        <v>9.1245947197776747E-2</v>
      </c>
      <c r="R238" s="32">
        <f>Rådatakommune[[#This Row],[Eldre67+-O]]/Rådatakommune[[#This Row],[B17-O]]</f>
        <v>0.19453450671607225</v>
      </c>
      <c r="S238" s="32">
        <f>Rådatakommune[[#This Row],[S16-O]]/Rådatakommune[[#This Row],[S06-O]]-1</f>
        <v>-1.5194681861348536E-2</v>
      </c>
      <c r="T238" s="32">
        <f>Rådatakommune[[#This Row],[Y16-O]]/Rådatakommune[[#This Row],[Folk20-64-O]]</f>
        <v>0.92493744787322774</v>
      </c>
    </row>
    <row r="239" spans="1:20" x14ac:dyDescent="0.25">
      <c r="A239" s="2" t="s">
        <v>234</v>
      </c>
      <c r="B239" s="2">
        <v>238</v>
      </c>
      <c r="C239" s="35">
        <v>5491</v>
      </c>
      <c r="D239" s="34">
        <v>5363</v>
      </c>
      <c r="E239" s="31">
        <v>2567</v>
      </c>
      <c r="F239" s="36">
        <v>1047</v>
      </c>
      <c r="G239" s="37">
        <v>543</v>
      </c>
      <c r="H239">
        <v>3053</v>
      </c>
      <c r="I239" s="31">
        <v>2816</v>
      </c>
      <c r="J239" s="31">
        <v>2707</v>
      </c>
      <c r="K239" s="7">
        <v>976.58</v>
      </c>
      <c r="L239" s="38">
        <v>414000</v>
      </c>
      <c r="M239" s="39">
        <v>197.28125</v>
      </c>
      <c r="N239">
        <v>9</v>
      </c>
      <c r="O239" s="30">
        <f>Rådatakommune[[#This Row],[B17-O]]/Rådatakommune[[#This Row],[Totalareal2017-O]]</f>
        <v>5.4916135902844623</v>
      </c>
      <c r="P239" s="32">
        <f>Rådatakommune[[#This Row],[B17-O]]/Rådatakommune[[#This Row],[B07-O]]-1</f>
        <v>-2.3310872336550714E-2</v>
      </c>
      <c r="Q239" s="32">
        <f>Rådatakommune[[#This Row],[Kvinner20-39-O]]/Rådatakommune[[#This Row],[B17-O]]</f>
        <v>0.10124930076449748</v>
      </c>
      <c r="R239" s="32">
        <f>Rådatakommune[[#This Row],[Eldre67+-O]]/Rådatakommune[[#This Row],[B17-O]]</f>
        <v>0.19522655230281558</v>
      </c>
      <c r="S239" s="32">
        <f>Rådatakommune[[#This Row],[S16-O]]/Rådatakommune[[#This Row],[S06-O]]-1</f>
        <v>-3.8707386363636354E-2</v>
      </c>
      <c r="T239" s="32">
        <f>Rådatakommune[[#This Row],[Y16-O]]/Rådatakommune[[#This Row],[Folk20-64-O]]</f>
        <v>0.84081231575499504</v>
      </c>
    </row>
    <row r="240" spans="1:20" x14ac:dyDescent="0.25">
      <c r="A240" s="2" t="s">
        <v>235</v>
      </c>
      <c r="B240" s="2">
        <v>239</v>
      </c>
      <c r="C240" s="35">
        <v>4884</v>
      </c>
      <c r="D240" s="34">
        <v>5151</v>
      </c>
      <c r="E240" s="31">
        <v>2617</v>
      </c>
      <c r="F240" s="36">
        <v>926</v>
      </c>
      <c r="G240" s="37">
        <v>576</v>
      </c>
      <c r="H240">
        <v>2845</v>
      </c>
      <c r="I240" s="31">
        <v>1979</v>
      </c>
      <c r="J240" s="31">
        <v>2009</v>
      </c>
      <c r="K240" s="7">
        <v>2706.22</v>
      </c>
      <c r="L240" s="38">
        <v>383600</v>
      </c>
      <c r="M240" s="39">
        <v>184.28125</v>
      </c>
      <c r="N240">
        <v>8</v>
      </c>
      <c r="O240" s="30">
        <f>Rådatakommune[[#This Row],[B17-O]]/Rådatakommune[[#This Row],[Totalareal2017-O]]</f>
        <v>1.9033929244481234</v>
      </c>
      <c r="P240" s="32">
        <f>Rådatakommune[[#This Row],[B17-O]]/Rådatakommune[[#This Row],[B07-O]]-1</f>
        <v>5.4668304668304746E-2</v>
      </c>
      <c r="Q240" s="32">
        <f>Rådatakommune[[#This Row],[Kvinner20-39-O]]/Rådatakommune[[#This Row],[B17-O]]</f>
        <v>0.11182294700058241</v>
      </c>
      <c r="R240" s="32">
        <f>Rådatakommune[[#This Row],[Eldre67+-O]]/Rådatakommune[[#This Row],[B17-O]]</f>
        <v>0.17977091826829741</v>
      </c>
      <c r="S240" s="32">
        <f>Rådatakommune[[#This Row],[S16-O]]/Rådatakommune[[#This Row],[S06-O]]-1</f>
        <v>1.5159171298635643E-2</v>
      </c>
      <c r="T240" s="32">
        <f>Rådatakommune[[#This Row],[Y16-O]]/Rådatakommune[[#This Row],[Folk20-64-O]]</f>
        <v>0.91985940246045694</v>
      </c>
    </row>
    <row r="241" spans="1:20" x14ac:dyDescent="0.25">
      <c r="A241" s="2" t="s">
        <v>236</v>
      </c>
      <c r="B241" s="2">
        <v>240</v>
      </c>
      <c r="C241" s="35">
        <v>3143</v>
      </c>
      <c r="D241" s="34">
        <v>3065</v>
      </c>
      <c r="E241" s="31">
        <v>1435</v>
      </c>
      <c r="F241" s="36">
        <v>683</v>
      </c>
      <c r="G241" s="37">
        <v>299</v>
      </c>
      <c r="H241">
        <v>1585</v>
      </c>
      <c r="I241" s="31">
        <v>1199</v>
      </c>
      <c r="J241" s="31">
        <v>1113</v>
      </c>
      <c r="K241" s="7">
        <v>326.17</v>
      </c>
      <c r="L241" s="38">
        <v>402200</v>
      </c>
      <c r="M241" s="39">
        <v>197.5</v>
      </c>
      <c r="N241">
        <v>8</v>
      </c>
      <c r="O241" s="30">
        <f>Rådatakommune[[#This Row],[B17-O]]/Rådatakommune[[#This Row],[Totalareal2017-O]]</f>
        <v>9.3969402458840481</v>
      </c>
      <c r="P241" s="32">
        <f>Rådatakommune[[#This Row],[B17-O]]/Rådatakommune[[#This Row],[B07-O]]-1</f>
        <v>-2.4817053770283204E-2</v>
      </c>
      <c r="Q241" s="32">
        <f>Rådatakommune[[#This Row],[Kvinner20-39-O]]/Rådatakommune[[#This Row],[B17-O]]</f>
        <v>9.7553017944535067E-2</v>
      </c>
      <c r="R241" s="32">
        <f>Rådatakommune[[#This Row],[Eldre67+-O]]/Rådatakommune[[#This Row],[B17-O]]</f>
        <v>0.22283849918433932</v>
      </c>
      <c r="S241" s="32">
        <f>Rådatakommune[[#This Row],[S16-O]]/Rådatakommune[[#This Row],[S06-O]]-1</f>
        <v>-7.1726438698915818E-2</v>
      </c>
      <c r="T241" s="32">
        <f>Rådatakommune[[#This Row],[Y16-O]]/Rådatakommune[[#This Row],[Folk20-64-O]]</f>
        <v>0.90536277602523663</v>
      </c>
    </row>
    <row r="242" spans="1:20" x14ac:dyDescent="0.25">
      <c r="A242" s="2" t="s">
        <v>237</v>
      </c>
      <c r="B242" s="2">
        <v>241</v>
      </c>
      <c r="C242" s="35">
        <v>2870</v>
      </c>
      <c r="D242" s="34">
        <v>2862</v>
      </c>
      <c r="E242" s="31">
        <v>1364</v>
      </c>
      <c r="F242" s="36">
        <v>541</v>
      </c>
      <c r="G242" s="37">
        <v>307</v>
      </c>
      <c r="H242">
        <v>1447</v>
      </c>
      <c r="I242" s="31">
        <v>1171</v>
      </c>
      <c r="J242" s="31">
        <v>1339</v>
      </c>
      <c r="K242" s="7">
        <v>416.51</v>
      </c>
      <c r="L242" s="38">
        <v>377800</v>
      </c>
      <c r="M242" s="39">
        <v>182.09375</v>
      </c>
      <c r="N242">
        <v>6</v>
      </c>
      <c r="O242" s="30">
        <f>Rådatakommune[[#This Row],[B17-O]]/Rådatakommune[[#This Row],[Totalareal2017-O]]</f>
        <v>6.8713836402487338</v>
      </c>
      <c r="P242" s="32">
        <f>Rådatakommune[[#This Row],[B17-O]]/Rådatakommune[[#This Row],[B07-O]]-1</f>
        <v>-2.7874564459929863E-3</v>
      </c>
      <c r="Q242" s="32">
        <f>Rådatakommune[[#This Row],[Kvinner20-39-O]]/Rådatakommune[[#This Row],[B17-O]]</f>
        <v>0.10726764500349406</v>
      </c>
      <c r="R242" s="32">
        <f>Rådatakommune[[#This Row],[Eldre67+-O]]/Rådatakommune[[#This Row],[B17-O]]</f>
        <v>0.18902865129280225</v>
      </c>
      <c r="S242" s="32">
        <f>Rådatakommune[[#This Row],[S16-O]]/Rådatakommune[[#This Row],[S06-O]]-1</f>
        <v>0.14346712211784807</v>
      </c>
      <c r="T242" s="32">
        <f>Rådatakommune[[#This Row],[Y16-O]]/Rådatakommune[[#This Row],[Folk20-64-O]]</f>
        <v>0.94263994471319967</v>
      </c>
    </row>
    <row r="243" spans="1:20" x14ac:dyDescent="0.25">
      <c r="A243" s="2" t="s">
        <v>238</v>
      </c>
      <c r="B243" s="2">
        <v>242</v>
      </c>
      <c r="C243" s="35">
        <v>2719</v>
      </c>
      <c r="D243" s="34">
        <v>2966</v>
      </c>
      <c r="E243" s="31">
        <v>1517</v>
      </c>
      <c r="F243" s="36">
        <v>472</v>
      </c>
      <c r="G243" s="37">
        <v>333</v>
      </c>
      <c r="H243">
        <v>1624</v>
      </c>
      <c r="I243" s="31">
        <v>987</v>
      </c>
      <c r="J243" s="31">
        <v>988</v>
      </c>
      <c r="K243" s="7">
        <v>581.82000000000005</v>
      </c>
      <c r="L243" s="38">
        <v>402900</v>
      </c>
      <c r="M243" s="39">
        <v>170.71875</v>
      </c>
      <c r="N243">
        <v>6</v>
      </c>
      <c r="O243" s="30">
        <f>Rådatakommune[[#This Row],[B17-O]]/Rådatakommune[[#This Row],[Totalareal2017-O]]</f>
        <v>5.0977965693857206</v>
      </c>
      <c r="P243" s="32">
        <f>Rådatakommune[[#This Row],[B17-O]]/Rådatakommune[[#This Row],[B07-O]]-1</f>
        <v>9.0842221404928258E-2</v>
      </c>
      <c r="Q243" s="32">
        <f>Rådatakommune[[#This Row],[Kvinner20-39-O]]/Rådatakommune[[#This Row],[B17-O]]</f>
        <v>0.11227242076871206</v>
      </c>
      <c r="R243" s="32">
        <f>Rådatakommune[[#This Row],[Eldre67+-O]]/Rådatakommune[[#This Row],[B17-O]]</f>
        <v>0.15913688469318948</v>
      </c>
      <c r="S243" s="32">
        <f>Rådatakommune[[#This Row],[S16-O]]/Rådatakommune[[#This Row],[S06-O]]-1</f>
        <v>1.0131712259371373E-3</v>
      </c>
      <c r="T243" s="32">
        <f>Rådatakommune[[#This Row],[Y16-O]]/Rådatakommune[[#This Row],[Folk20-64-O]]</f>
        <v>0.93411330049261088</v>
      </c>
    </row>
    <row r="244" spans="1:20" x14ac:dyDescent="0.25">
      <c r="A244" s="2" t="s">
        <v>239</v>
      </c>
      <c r="B244" s="2">
        <v>243</v>
      </c>
      <c r="C244" s="35">
        <v>2928</v>
      </c>
      <c r="D244" s="34">
        <v>3049</v>
      </c>
      <c r="E244" s="31">
        <v>1576</v>
      </c>
      <c r="F244" s="36">
        <v>490</v>
      </c>
      <c r="G244" s="37">
        <v>331</v>
      </c>
      <c r="H244">
        <v>1661</v>
      </c>
      <c r="I244" s="31">
        <v>999</v>
      </c>
      <c r="J244" s="31">
        <v>1011</v>
      </c>
      <c r="K244" s="7">
        <v>670.87</v>
      </c>
      <c r="L244" s="38">
        <v>398600</v>
      </c>
      <c r="M244" s="39">
        <v>193.625</v>
      </c>
      <c r="N244">
        <v>6</v>
      </c>
      <c r="O244" s="30">
        <f>Rådatakommune[[#This Row],[B17-O]]/Rådatakommune[[#This Row],[Totalareal2017-O]]</f>
        <v>4.5448447538271202</v>
      </c>
      <c r="P244" s="32">
        <f>Rådatakommune[[#This Row],[B17-O]]/Rådatakommune[[#This Row],[B07-O]]-1</f>
        <v>4.1325136612021751E-2</v>
      </c>
      <c r="Q244" s="32">
        <f>Rådatakommune[[#This Row],[Kvinner20-39-O]]/Rådatakommune[[#This Row],[B17-O]]</f>
        <v>0.10856018366677599</v>
      </c>
      <c r="R244" s="32">
        <f>Rådatakommune[[#This Row],[Eldre67+-O]]/Rådatakommune[[#This Row],[B17-O]]</f>
        <v>0.1607084289931125</v>
      </c>
      <c r="S244" s="32">
        <f>Rådatakommune[[#This Row],[S16-O]]/Rådatakommune[[#This Row],[S06-O]]-1</f>
        <v>1.2012012012011963E-2</v>
      </c>
      <c r="T244" s="32">
        <f>Rådatakommune[[#This Row],[Y16-O]]/Rådatakommune[[#This Row],[Folk20-64-O]]</f>
        <v>0.94882600842865739</v>
      </c>
    </row>
    <row r="245" spans="1:20" x14ac:dyDescent="0.25">
      <c r="A245" s="2" t="s">
        <v>240</v>
      </c>
      <c r="B245" s="2">
        <v>244</v>
      </c>
      <c r="C245" s="35">
        <v>11465</v>
      </c>
      <c r="D245" s="34">
        <v>13009</v>
      </c>
      <c r="E245" s="31">
        <v>7114</v>
      </c>
      <c r="F245" s="36">
        <v>1434</v>
      </c>
      <c r="G245" s="37">
        <v>1737</v>
      </c>
      <c r="H245">
        <v>7746</v>
      </c>
      <c r="I245" s="31">
        <v>8604</v>
      </c>
      <c r="J245" s="31">
        <v>9334</v>
      </c>
      <c r="K245" s="7">
        <v>585.81999999999994</v>
      </c>
      <c r="L245" s="38">
        <v>454300</v>
      </c>
      <c r="M245" s="39">
        <v>172.875</v>
      </c>
      <c r="N245">
        <v>6</v>
      </c>
      <c r="O245" s="30">
        <f>Rådatakommune[[#This Row],[B17-O]]/Rådatakommune[[#This Row],[Totalareal2017-O]]</f>
        <v>22.206479806083781</v>
      </c>
      <c r="P245" s="32">
        <f>Rådatakommune[[#This Row],[B17-O]]/Rådatakommune[[#This Row],[B07-O]]-1</f>
        <v>0.13467073702573051</v>
      </c>
      <c r="Q245" s="32">
        <f>Rådatakommune[[#This Row],[Kvinner20-39-O]]/Rådatakommune[[#This Row],[B17-O]]</f>
        <v>0.13352294565300946</v>
      </c>
      <c r="R245" s="32">
        <f>Rådatakommune[[#This Row],[Eldre67+-O]]/Rådatakommune[[#This Row],[B17-O]]</f>
        <v>0.11023137827657775</v>
      </c>
      <c r="S245" s="32">
        <f>Rådatakommune[[#This Row],[S16-O]]/Rådatakommune[[#This Row],[S06-O]]-1</f>
        <v>8.4844258484425783E-2</v>
      </c>
      <c r="T245" s="32">
        <f>Rådatakommune[[#This Row],[Y16-O]]/Rådatakommune[[#This Row],[Folk20-64-O]]</f>
        <v>0.91840950167828561</v>
      </c>
    </row>
    <row r="246" spans="1:20" x14ac:dyDescent="0.25">
      <c r="A246" s="2" t="s">
        <v>241</v>
      </c>
      <c r="B246" s="2">
        <v>245</v>
      </c>
      <c r="C246" s="35">
        <v>2658</v>
      </c>
      <c r="D246" s="34">
        <v>2848</v>
      </c>
      <c r="E246" s="31">
        <v>1458</v>
      </c>
      <c r="F246" s="36">
        <v>475</v>
      </c>
      <c r="G246" s="37">
        <v>310</v>
      </c>
      <c r="H246">
        <v>1559</v>
      </c>
      <c r="I246" s="31">
        <v>642</v>
      </c>
      <c r="J246" s="31">
        <v>630</v>
      </c>
      <c r="K246" s="7">
        <v>369.49</v>
      </c>
      <c r="L246" s="38">
        <v>415700</v>
      </c>
      <c r="M246" s="39">
        <v>183.21875</v>
      </c>
      <c r="N246">
        <v>6</v>
      </c>
      <c r="O246" s="30">
        <f>Rådatakommune[[#This Row],[B17-O]]/Rådatakommune[[#This Row],[Totalareal2017-O]]</f>
        <v>7.7079217299520959</v>
      </c>
      <c r="P246" s="32">
        <f>Rådatakommune[[#This Row],[B17-O]]/Rådatakommune[[#This Row],[B07-O]]-1</f>
        <v>7.1482317531978978E-2</v>
      </c>
      <c r="Q246" s="32">
        <f>Rådatakommune[[#This Row],[Kvinner20-39-O]]/Rådatakommune[[#This Row],[B17-O]]</f>
        <v>0.10884831460674158</v>
      </c>
      <c r="R246" s="32">
        <f>Rådatakommune[[#This Row],[Eldre67+-O]]/Rådatakommune[[#This Row],[B17-O]]</f>
        <v>0.16678370786516855</v>
      </c>
      <c r="S246" s="32">
        <f>Rådatakommune[[#This Row],[S16-O]]/Rådatakommune[[#This Row],[S06-O]]-1</f>
        <v>-1.8691588785046731E-2</v>
      </c>
      <c r="T246" s="32">
        <f>Rådatakommune[[#This Row],[Y16-O]]/Rådatakommune[[#This Row],[Folk20-64-O]]</f>
        <v>0.93521488133418862</v>
      </c>
    </row>
    <row r="247" spans="1:20" x14ac:dyDescent="0.25">
      <c r="A247" s="2" t="s">
        <v>242</v>
      </c>
      <c r="B247" s="2">
        <v>246</v>
      </c>
      <c r="C247" s="35">
        <v>3930</v>
      </c>
      <c r="D247" s="34">
        <v>3847</v>
      </c>
      <c r="E247" s="31">
        <v>1751</v>
      </c>
      <c r="F247" s="36">
        <v>845</v>
      </c>
      <c r="G247" s="37">
        <v>361</v>
      </c>
      <c r="H247">
        <v>1998</v>
      </c>
      <c r="I247" s="31">
        <v>1579</v>
      </c>
      <c r="J247" s="31">
        <v>1580</v>
      </c>
      <c r="K247" s="7">
        <v>832.85</v>
      </c>
      <c r="L247" s="38">
        <v>383800</v>
      </c>
      <c r="M247" s="39">
        <v>214.34375</v>
      </c>
      <c r="N247">
        <v>11</v>
      </c>
      <c r="O247" s="30">
        <f>Rådatakommune[[#This Row],[B17-O]]/Rådatakommune[[#This Row],[Totalareal2017-O]]</f>
        <v>4.6190790658581973</v>
      </c>
      <c r="P247" s="32">
        <f>Rådatakommune[[#This Row],[B17-O]]/Rådatakommune[[#This Row],[B07-O]]-1</f>
        <v>-2.1119592875318061E-2</v>
      </c>
      <c r="Q247" s="32">
        <f>Rådatakommune[[#This Row],[Kvinner20-39-O]]/Rådatakommune[[#This Row],[B17-O]]</f>
        <v>9.3839355341824804E-2</v>
      </c>
      <c r="R247" s="32">
        <f>Rådatakommune[[#This Row],[Eldre67+-O]]/Rådatakommune[[#This Row],[B17-O]]</f>
        <v>0.21965167663114116</v>
      </c>
      <c r="S247" s="32">
        <f>Rådatakommune[[#This Row],[S16-O]]/Rådatakommune[[#This Row],[S06-O]]-1</f>
        <v>6.3331222292584144E-4</v>
      </c>
      <c r="T247" s="32">
        <f>Rådatakommune[[#This Row],[Y16-O]]/Rådatakommune[[#This Row],[Folk20-64-O]]</f>
        <v>0.87637637637637633</v>
      </c>
    </row>
    <row r="248" spans="1:20" x14ac:dyDescent="0.25">
      <c r="A248" s="2" t="s">
        <v>243</v>
      </c>
      <c r="B248" s="2">
        <v>247</v>
      </c>
      <c r="C248" s="35">
        <v>6064</v>
      </c>
      <c r="D248" s="34">
        <v>6031</v>
      </c>
      <c r="E248" s="31">
        <v>2966</v>
      </c>
      <c r="F248" s="36">
        <v>1067</v>
      </c>
      <c r="G248" s="37">
        <v>603</v>
      </c>
      <c r="H248">
        <v>3324</v>
      </c>
      <c r="I248" s="31">
        <v>2893</v>
      </c>
      <c r="J248" s="31">
        <v>3052</v>
      </c>
      <c r="K248" s="7">
        <v>176.69</v>
      </c>
      <c r="L248" s="38">
        <v>415300</v>
      </c>
      <c r="M248" s="39">
        <v>224.28125</v>
      </c>
      <c r="N248">
        <v>9</v>
      </c>
      <c r="O248" s="30">
        <f>Rådatakommune[[#This Row],[B17-O]]/Rådatakommune[[#This Row],[Totalareal2017-O]]</f>
        <v>34.133227686909279</v>
      </c>
      <c r="P248" s="32">
        <f>Rådatakommune[[#This Row],[B17-O]]/Rådatakommune[[#This Row],[B07-O]]-1</f>
        <v>-5.4419525065962926E-3</v>
      </c>
      <c r="Q248" s="32">
        <f>Rådatakommune[[#This Row],[Kvinner20-39-O]]/Rådatakommune[[#This Row],[B17-O]]</f>
        <v>9.9983419001823906E-2</v>
      </c>
      <c r="R248" s="32">
        <f>Rådatakommune[[#This Row],[Eldre67+-O]]/Rådatakommune[[#This Row],[B17-O]]</f>
        <v>0.17691925053888244</v>
      </c>
      <c r="S248" s="32">
        <f>Rådatakommune[[#This Row],[S16-O]]/Rådatakommune[[#This Row],[S06-O]]-1</f>
        <v>5.4960248876598783E-2</v>
      </c>
      <c r="T248" s="32">
        <f>Rådatakommune[[#This Row],[Y16-O]]/Rådatakommune[[#This Row],[Folk20-64-O]]</f>
        <v>0.89229843561973521</v>
      </c>
    </row>
    <row r="249" spans="1:20" x14ac:dyDescent="0.25">
      <c r="A249" s="2" t="s">
        <v>244</v>
      </c>
      <c r="B249" s="2">
        <v>248</v>
      </c>
      <c r="C249" s="35">
        <v>2911</v>
      </c>
      <c r="D249" s="34">
        <v>2791</v>
      </c>
      <c r="E249" s="31">
        <v>1369</v>
      </c>
      <c r="F249" s="36">
        <v>548</v>
      </c>
      <c r="G249" s="37">
        <v>285</v>
      </c>
      <c r="H249">
        <v>1540</v>
      </c>
      <c r="I249" s="31">
        <v>1128</v>
      </c>
      <c r="J249" s="31">
        <v>1113</v>
      </c>
      <c r="K249" s="7">
        <v>226.12</v>
      </c>
      <c r="L249" s="38">
        <v>401300</v>
      </c>
      <c r="M249" s="39">
        <v>230.4375</v>
      </c>
      <c r="N249">
        <v>9</v>
      </c>
      <c r="O249" s="30">
        <f>Rådatakommune[[#This Row],[B17-O]]/Rådatakommune[[#This Row],[Totalareal2017-O]]</f>
        <v>12.343003714841677</v>
      </c>
      <c r="P249" s="32">
        <f>Rådatakommune[[#This Row],[B17-O]]/Rådatakommune[[#This Row],[B07-O]]-1</f>
        <v>-4.1222947440742064E-2</v>
      </c>
      <c r="Q249" s="32">
        <f>Rådatakommune[[#This Row],[Kvinner20-39-O]]/Rådatakommune[[#This Row],[B17-O]]</f>
        <v>0.10211393765675385</v>
      </c>
      <c r="R249" s="32">
        <f>Rådatakommune[[#This Row],[Eldre67+-O]]/Rådatakommune[[#This Row],[B17-O]]</f>
        <v>0.19634539591544251</v>
      </c>
      <c r="S249" s="32">
        <f>Rådatakommune[[#This Row],[S16-O]]/Rådatakommune[[#This Row],[S06-O]]-1</f>
        <v>-1.3297872340425565E-2</v>
      </c>
      <c r="T249" s="32">
        <f>Rådatakommune[[#This Row],[Y16-O]]/Rådatakommune[[#This Row],[Folk20-64-O]]</f>
        <v>0.88896103896103895</v>
      </c>
    </row>
    <row r="250" spans="1:20" x14ac:dyDescent="0.25">
      <c r="A250" s="2" t="s">
        <v>245</v>
      </c>
      <c r="B250" s="2">
        <v>249</v>
      </c>
      <c r="C250" s="35">
        <v>5848</v>
      </c>
      <c r="D250" s="34">
        <v>6064</v>
      </c>
      <c r="E250" s="31">
        <v>3081</v>
      </c>
      <c r="F250" s="36">
        <v>976</v>
      </c>
      <c r="G250" s="37">
        <v>666</v>
      </c>
      <c r="H250">
        <v>3348</v>
      </c>
      <c r="I250" s="31">
        <v>2860</v>
      </c>
      <c r="J250" s="31">
        <v>2887</v>
      </c>
      <c r="K250" s="7">
        <v>469.21999999999997</v>
      </c>
      <c r="L250" s="38">
        <v>396100</v>
      </c>
      <c r="M250" s="39">
        <v>179.5</v>
      </c>
      <c r="N250">
        <v>8</v>
      </c>
      <c r="O250" s="30">
        <f>Rådatakommune[[#This Row],[B17-O]]/Rådatakommune[[#This Row],[Totalareal2017-O]]</f>
        <v>12.923575295170709</v>
      </c>
      <c r="P250" s="32">
        <f>Rådatakommune[[#This Row],[B17-O]]/Rådatakommune[[#This Row],[B07-O]]-1</f>
        <v>3.6935704514363898E-2</v>
      </c>
      <c r="Q250" s="32">
        <f>Rådatakommune[[#This Row],[Kvinner20-39-O]]/Rådatakommune[[#This Row],[B17-O]]</f>
        <v>0.10982849604221635</v>
      </c>
      <c r="R250" s="32">
        <f>Rådatakommune[[#This Row],[Eldre67+-O]]/Rådatakommune[[#This Row],[B17-O]]</f>
        <v>0.16094986807387862</v>
      </c>
      <c r="S250" s="32">
        <f>Rådatakommune[[#This Row],[S16-O]]/Rådatakommune[[#This Row],[S06-O]]-1</f>
        <v>9.4405594405595483E-3</v>
      </c>
      <c r="T250" s="32">
        <f>Rådatakommune[[#This Row],[Y16-O]]/Rådatakommune[[#This Row],[Folk20-64-O]]</f>
        <v>0.92025089605734767</v>
      </c>
    </row>
    <row r="251" spans="1:20" x14ac:dyDescent="0.25">
      <c r="A251" s="2" t="s">
        <v>246</v>
      </c>
      <c r="B251" s="2">
        <v>250</v>
      </c>
      <c r="C251" s="35">
        <v>1201</v>
      </c>
      <c r="D251" s="34">
        <v>1198</v>
      </c>
      <c r="E251" s="31">
        <v>635</v>
      </c>
      <c r="F251" s="36">
        <v>218</v>
      </c>
      <c r="G251" s="37">
        <v>129</v>
      </c>
      <c r="H251">
        <v>643</v>
      </c>
      <c r="I251" s="31">
        <v>478</v>
      </c>
      <c r="J251" s="31">
        <v>417</v>
      </c>
      <c r="K251" s="7">
        <v>191.6</v>
      </c>
      <c r="L251" s="38">
        <v>364200</v>
      </c>
      <c r="M251" s="39">
        <v>193.6875</v>
      </c>
      <c r="N251">
        <v>8</v>
      </c>
      <c r="O251" s="30">
        <f>Rådatakommune[[#This Row],[B17-O]]/Rådatakommune[[#This Row],[Totalareal2017-O]]</f>
        <v>6.252609603340292</v>
      </c>
      <c r="P251" s="32">
        <f>Rådatakommune[[#This Row],[B17-O]]/Rådatakommune[[#This Row],[B07-O]]-1</f>
        <v>-2.4979184013321776E-3</v>
      </c>
      <c r="Q251" s="32">
        <f>Rådatakommune[[#This Row],[Kvinner20-39-O]]/Rådatakommune[[#This Row],[B17-O]]</f>
        <v>0.10767946577629382</v>
      </c>
      <c r="R251" s="32">
        <f>Rådatakommune[[#This Row],[Eldre67+-O]]/Rådatakommune[[#This Row],[B17-O]]</f>
        <v>0.18196994991652754</v>
      </c>
      <c r="S251" s="32">
        <f>Rådatakommune[[#This Row],[S16-O]]/Rådatakommune[[#This Row],[S06-O]]-1</f>
        <v>-0.12761506276150625</v>
      </c>
      <c r="T251" s="32">
        <f>Rådatakommune[[#This Row],[Y16-O]]/Rådatakommune[[#This Row],[Folk20-64-O]]</f>
        <v>0.98755832037325042</v>
      </c>
    </row>
    <row r="252" spans="1:20" x14ac:dyDescent="0.25">
      <c r="A252" s="2" t="s">
        <v>247</v>
      </c>
      <c r="B252" s="2">
        <v>251</v>
      </c>
      <c r="C252" s="35">
        <v>5723</v>
      </c>
      <c r="D252" s="34">
        <v>5783</v>
      </c>
      <c r="E252" s="31">
        <v>2942</v>
      </c>
      <c r="F252" s="36">
        <v>1086</v>
      </c>
      <c r="G252" s="37">
        <v>615</v>
      </c>
      <c r="H252">
        <v>3088</v>
      </c>
      <c r="I252" s="31">
        <v>2686</v>
      </c>
      <c r="J252" s="31">
        <v>2745</v>
      </c>
      <c r="K252" s="7">
        <v>1030.51</v>
      </c>
      <c r="L252" s="38">
        <v>400800</v>
      </c>
      <c r="M252" s="39">
        <v>165.9375</v>
      </c>
      <c r="N252">
        <v>9</v>
      </c>
      <c r="O252" s="30">
        <f>Rådatakommune[[#This Row],[B17-O]]/Rådatakommune[[#This Row],[Totalareal2017-O]]</f>
        <v>5.6117844562401142</v>
      </c>
      <c r="P252" s="32">
        <f>Rådatakommune[[#This Row],[B17-O]]/Rådatakommune[[#This Row],[B07-O]]-1</f>
        <v>1.0484011881880084E-2</v>
      </c>
      <c r="Q252" s="32">
        <f>Rådatakommune[[#This Row],[Kvinner20-39-O]]/Rådatakommune[[#This Row],[B17-O]]</f>
        <v>0.10634618710012105</v>
      </c>
      <c r="R252" s="32">
        <f>Rådatakommune[[#This Row],[Eldre67+-O]]/Rådatakommune[[#This Row],[B17-O]]</f>
        <v>0.18779180356216496</v>
      </c>
      <c r="S252" s="32">
        <f>Rådatakommune[[#This Row],[S16-O]]/Rådatakommune[[#This Row],[S06-O]]-1</f>
        <v>2.1965748324646261E-2</v>
      </c>
      <c r="T252" s="32">
        <f>Rådatakommune[[#This Row],[Y16-O]]/Rådatakommune[[#This Row],[Folk20-64-O]]</f>
        <v>0.95272020725388606</v>
      </c>
    </row>
    <row r="253" spans="1:20" x14ac:dyDescent="0.25">
      <c r="A253" s="2" t="s">
        <v>248</v>
      </c>
      <c r="B253" s="2">
        <v>252</v>
      </c>
      <c r="C253" s="35">
        <v>6706</v>
      </c>
      <c r="D253" s="34">
        <v>7218</v>
      </c>
      <c r="E253" s="31">
        <v>3747</v>
      </c>
      <c r="F253" s="36">
        <v>1179</v>
      </c>
      <c r="G253" s="37">
        <v>760</v>
      </c>
      <c r="H253">
        <v>3971</v>
      </c>
      <c r="I253" s="31">
        <v>3709</v>
      </c>
      <c r="J253" s="31">
        <v>3733</v>
      </c>
      <c r="K253" s="7">
        <v>1377.21</v>
      </c>
      <c r="L253" s="38">
        <v>417900</v>
      </c>
      <c r="M253" s="39">
        <v>207.90625</v>
      </c>
      <c r="N253">
        <v>8</v>
      </c>
      <c r="O253" s="30">
        <f>Rådatakommune[[#This Row],[B17-O]]/Rådatakommune[[#This Row],[Totalareal2017-O]]</f>
        <v>5.241030779619666</v>
      </c>
      <c r="P253" s="32">
        <f>Rådatakommune[[#This Row],[B17-O]]/Rådatakommune[[#This Row],[B07-O]]-1</f>
        <v>7.6349537727408379E-2</v>
      </c>
      <c r="Q253" s="32">
        <f>Rådatakommune[[#This Row],[Kvinner20-39-O]]/Rådatakommune[[#This Row],[B17-O]]</f>
        <v>0.10529232474369632</v>
      </c>
      <c r="R253" s="32">
        <f>Rådatakommune[[#This Row],[Eldre67+-O]]/Rådatakommune[[#This Row],[B17-O]]</f>
        <v>0.1633416458852868</v>
      </c>
      <c r="S253" s="32">
        <f>Rådatakommune[[#This Row],[S16-O]]/Rådatakommune[[#This Row],[S06-O]]-1</f>
        <v>6.4707468320301942E-3</v>
      </c>
      <c r="T253" s="32">
        <f>Rådatakommune[[#This Row],[Y16-O]]/Rådatakommune[[#This Row],[Folk20-64-O]]</f>
        <v>0.94359103500377739</v>
      </c>
    </row>
    <row r="254" spans="1:20" x14ac:dyDescent="0.25">
      <c r="A254" s="2" t="s">
        <v>249</v>
      </c>
      <c r="B254" s="2">
        <v>253</v>
      </c>
      <c r="C254" s="35">
        <v>24254</v>
      </c>
      <c r="D254" s="34">
        <v>26822</v>
      </c>
      <c r="E254" s="31">
        <v>13479</v>
      </c>
      <c r="F254" s="36">
        <v>4293</v>
      </c>
      <c r="G254" s="37">
        <v>3380</v>
      </c>
      <c r="H254">
        <v>15615</v>
      </c>
      <c r="I254" s="31">
        <v>15299</v>
      </c>
      <c r="J254" s="31">
        <v>16604</v>
      </c>
      <c r="K254" s="7">
        <v>362.69</v>
      </c>
      <c r="L254" s="38">
        <v>441000</v>
      </c>
      <c r="M254" s="39">
        <v>156.375</v>
      </c>
      <c r="N254">
        <v>4</v>
      </c>
      <c r="O254" s="30">
        <f>Rådatakommune[[#This Row],[B17-O]]/Rådatakommune[[#This Row],[Totalareal2017-O]]</f>
        <v>73.952962585127793</v>
      </c>
      <c r="P254" s="32">
        <f>Rådatakommune[[#This Row],[B17-O]]/Rådatakommune[[#This Row],[B07-O]]-1</f>
        <v>0.10587944256617465</v>
      </c>
      <c r="Q254" s="32">
        <f>Rådatakommune[[#This Row],[Kvinner20-39-O]]/Rådatakommune[[#This Row],[B17-O]]</f>
        <v>0.12601595705018268</v>
      </c>
      <c r="R254" s="32">
        <f>Rådatakommune[[#This Row],[Eldre67+-O]]/Rådatakommune[[#This Row],[B17-O]]</f>
        <v>0.16005517858474386</v>
      </c>
      <c r="S254" s="32">
        <f>Rådatakommune[[#This Row],[S16-O]]/Rådatakommune[[#This Row],[S06-O]]-1</f>
        <v>8.5299692790378412E-2</v>
      </c>
      <c r="T254" s="32">
        <f>Rådatakommune[[#This Row],[Y16-O]]/Rådatakommune[[#This Row],[Folk20-64-O]]</f>
        <v>0.86320845341018249</v>
      </c>
    </row>
    <row r="255" spans="1:20" x14ac:dyDescent="0.25">
      <c r="A255" s="2" t="s">
        <v>250</v>
      </c>
      <c r="B255" s="2">
        <v>254</v>
      </c>
      <c r="C255" s="35">
        <v>41385</v>
      </c>
      <c r="D255" s="34">
        <v>47199</v>
      </c>
      <c r="E255" s="31">
        <v>24074</v>
      </c>
      <c r="F255" s="36">
        <v>6554</v>
      </c>
      <c r="G255" s="37">
        <v>6248</v>
      </c>
      <c r="H255">
        <v>28286</v>
      </c>
      <c r="I255" s="31">
        <v>24369</v>
      </c>
      <c r="J255" s="31">
        <v>28118</v>
      </c>
      <c r="K255" s="7">
        <v>98.62</v>
      </c>
      <c r="L255" s="38">
        <v>442600</v>
      </c>
      <c r="M255" s="39">
        <v>169.0625</v>
      </c>
      <c r="N255">
        <v>4</v>
      </c>
      <c r="O255" s="30">
        <f>Rådatakommune[[#This Row],[B17-O]]/Rådatakommune[[#This Row],[Totalareal2017-O]]</f>
        <v>478.59460555668221</v>
      </c>
      <c r="P255" s="32">
        <f>Rådatakommune[[#This Row],[B17-O]]/Rådatakommune[[#This Row],[B07-O]]-1</f>
        <v>0.14048568321855748</v>
      </c>
      <c r="Q255" s="32">
        <f>Rådatakommune[[#This Row],[Kvinner20-39-O]]/Rådatakommune[[#This Row],[B17-O]]</f>
        <v>0.13237568592554927</v>
      </c>
      <c r="R255" s="32">
        <f>Rådatakommune[[#This Row],[Eldre67+-O]]/Rådatakommune[[#This Row],[B17-O]]</f>
        <v>0.13885887412868916</v>
      </c>
      <c r="S255" s="32">
        <f>Rådatakommune[[#This Row],[S16-O]]/Rådatakommune[[#This Row],[S06-O]]-1</f>
        <v>0.15384299725060524</v>
      </c>
      <c r="T255" s="32">
        <f>Rådatakommune[[#This Row],[Y16-O]]/Rådatakommune[[#This Row],[Folk20-64-O]]</f>
        <v>0.85109241320794737</v>
      </c>
    </row>
    <row r="256" spans="1:20" x14ac:dyDescent="0.25">
      <c r="A256" s="2" t="s">
        <v>251</v>
      </c>
      <c r="B256" s="2">
        <v>255</v>
      </c>
      <c r="C256" s="35">
        <v>22522</v>
      </c>
      <c r="D256" s="34">
        <v>24442</v>
      </c>
      <c r="E256" s="31">
        <v>11214</v>
      </c>
      <c r="F256" s="36">
        <v>3928</v>
      </c>
      <c r="G256" s="37">
        <v>2883</v>
      </c>
      <c r="H256">
        <v>14352</v>
      </c>
      <c r="I256" s="40">
        <v>10823</v>
      </c>
      <c r="J256" s="31">
        <v>11112</v>
      </c>
      <c r="K256" s="7">
        <v>87.38</v>
      </c>
      <c r="L256" s="38">
        <v>422200</v>
      </c>
      <c r="M256" s="39">
        <v>163.5</v>
      </c>
      <c r="N256">
        <v>5</v>
      </c>
      <c r="O256" s="30">
        <f>Rådatakommune[[#This Row],[B17-O]]/Rådatakommune[[#This Row],[Totalareal2017-O]]</f>
        <v>279.72075989929044</v>
      </c>
      <c r="P256" s="32">
        <f>Rådatakommune[[#This Row],[B17-O]]/Rådatakommune[[#This Row],[B07-O]]-1</f>
        <v>8.5249977799484844E-2</v>
      </c>
      <c r="Q256" s="32">
        <f>Rådatakommune[[#This Row],[Kvinner20-39-O]]/Rådatakommune[[#This Row],[B17-O]]</f>
        <v>0.11795270436134522</v>
      </c>
      <c r="R256" s="32">
        <f>Rådatakommune[[#This Row],[Eldre67+-O]]/Rådatakommune[[#This Row],[B17-O]]</f>
        <v>0.16070697978888798</v>
      </c>
      <c r="S256" s="32">
        <f>Rådatakommune[[#This Row],[S16-O]]/Rådatakommune[[#This Row],[S06-O]]-1</f>
        <v>2.6702393051833972E-2</v>
      </c>
      <c r="T256" s="32">
        <f>Rådatakommune[[#This Row],[Y16-O]]/Rådatakommune[[#This Row],[Folk20-64-O]]</f>
        <v>0.78135451505016718</v>
      </c>
    </row>
    <row r="257" spans="1:20" x14ac:dyDescent="0.25">
      <c r="A257" s="2" t="s">
        <v>252</v>
      </c>
      <c r="B257" s="2">
        <v>256</v>
      </c>
      <c r="C257" s="35">
        <v>3536</v>
      </c>
      <c r="D257" s="34">
        <v>3203</v>
      </c>
      <c r="E257" s="31">
        <v>1538</v>
      </c>
      <c r="F257" s="36">
        <v>755</v>
      </c>
      <c r="G257" s="37">
        <v>281</v>
      </c>
      <c r="H257">
        <v>1676</v>
      </c>
      <c r="I257" s="31">
        <v>1456</v>
      </c>
      <c r="J257" s="31">
        <v>1309</v>
      </c>
      <c r="K257" s="7">
        <v>385.21</v>
      </c>
      <c r="L257" s="38">
        <v>392700</v>
      </c>
      <c r="M257" s="39">
        <v>227.0625</v>
      </c>
      <c r="N257">
        <v>11</v>
      </c>
      <c r="O257" s="30">
        <f>Rådatakommune[[#This Row],[B17-O]]/Rådatakommune[[#This Row],[Totalareal2017-O]]</f>
        <v>8.3149450948833117</v>
      </c>
      <c r="P257" s="32">
        <f>Rådatakommune[[#This Row],[B17-O]]/Rådatakommune[[#This Row],[B07-O]]-1</f>
        <v>-9.4174208144796379E-2</v>
      </c>
      <c r="Q257" s="32">
        <f>Rådatakommune[[#This Row],[Kvinner20-39-O]]/Rådatakommune[[#This Row],[B17-O]]</f>
        <v>8.7730252887917581E-2</v>
      </c>
      <c r="R257" s="32">
        <f>Rådatakommune[[#This Row],[Eldre67+-O]]/Rådatakommune[[#This Row],[B17-O]]</f>
        <v>0.23571651576646893</v>
      </c>
      <c r="S257" s="32">
        <f>Rådatakommune[[#This Row],[S16-O]]/Rådatakommune[[#This Row],[S06-O]]-1</f>
        <v>-0.10096153846153844</v>
      </c>
      <c r="T257" s="32">
        <f>Rådatakommune[[#This Row],[Y16-O]]/Rådatakommune[[#This Row],[Folk20-64-O]]</f>
        <v>0.91766109785202865</v>
      </c>
    </row>
    <row r="258" spans="1:20" x14ac:dyDescent="0.25">
      <c r="A258" s="2" t="s">
        <v>253</v>
      </c>
      <c r="B258" s="2">
        <v>257</v>
      </c>
      <c r="C258" s="35">
        <v>2526</v>
      </c>
      <c r="D258" s="34">
        <v>2540</v>
      </c>
      <c r="E258" s="31">
        <v>1237</v>
      </c>
      <c r="F258" s="36">
        <v>495</v>
      </c>
      <c r="G258" s="37">
        <v>246</v>
      </c>
      <c r="H258">
        <v>1422</v>
      </c>
      <c r="I258" s="31">
        <v>1153</v>
      </c>
      <c r="J258" s="31">
        <v>1191</v>
      </c>
      <c r="K258" s="7">
        <v>93.210000000000008</v>
      </c>
      <c r="L258" s="38">
        <v>410500</v>
      </c>
      <c r="M258" s="39">
        <v>195.9375</v>
      </c>
      <c r="N258">
        <v>6</v>
      </c>
      <c r="O258" s="30">
        <f>Rådatakommune[[#This Row],[B17-O]]/Rådatakommune[[#This Row],[Totalareal2017-O]]</f>
        <v>27.250295032721809</v>
      </c>
      <c r="P258" s="32">
        <f>Rådatakommune[[#This Row],[B17-O]]/Rådatakommune[[#This Row],[B07-O]]-1</f>
        <v>5.542359461599311E-3</v>
      </c>
      <c r="Q258" s="32">
        <f>Rådatakommune[[#This Row],[Kvinner20-39-O]]/Rådatakommune[[#This Row],[B17-O]]</f>
        <v>9.6850393700787407E-2</v>
      </c>
      <c r="R258" s="32">
        <f>Rådatakommune[[#This Row],[Eldre67+-O]]/Rådatakommune[[#This Row],[B17-O]]</f>
        <v>0.19488188976377951</v>
      </c>
      <c r="S258" s="32">
        <f>Rådatakommune[[#This Row],[S16-O]]/Rådatakommune[[#This Row],[S06-O]]-1</f>
        <v>3.2957502168256658E-2</v>
      </c>
      <c r="T258" s="32">
        <f>Rådatakommune[[#This Row],[Y16-O]]/Rådatakommune[[#This Row],[Folk20-64-O]]</f>
        <v>0.86990154711673695</v>
      </c>
    </row>
    <row r="259" spans="1:20" x14ac:dyDescent="0.25">
      <c r="A259" s="2" t="s">
        <v>254</v>
      </c>
      <c r="B259" s="2">
        <v>258</v>
      </c>
      <c r="C259" s="35">
        <v>8321</v>
      </c>
      <c r="D259" s="34">
        <v>8957</v>
      </c>
      <c r="E259" s="31">
        <v>4291</v>
      </c>
      <c r="F259" s="36">
        <v>1458</v>
      </c>
      <c r="G259" s="37">
        <v>992</v>
      </c>
      <c r="H259">
        <v>5056</v>
      </c>
      <c r="I259" s="31">
        <v>3668</v>
      </c>
      <c r="J259" s="31">
        <v>3972</v>
      </c>
      <c r="K259" s="7">
        <v>119.53</v>
      </c>
      <c r="L259" s="38">
        <v>456900</v>
      </c>
      <c r="M259" s="39">
        <v>197.375</v>
      </c>
      <c r="N259">
        <v>6</v>
      </c>
      <c r="O259" s="30">
        <f>Rådatakommune[[#This Row],[B17-O]]/Rådatakommune[[#This Row],[Totalareal2017-O]]</f>
        <v>74.935162720655896</v>
      </c>
      <c r="P259" s="32">
        <f>Rådatakommune[[#This Row],[B17-O]]/Rådatakommune[[#This Row],[B07-O]]-1</f>
        <v>7.6433121019108263E-2</v>
      </c>
      <c r="Q259" s="32">
        <f>Rådatakommune[[#This Row],[Kvinner20-39-O]]/Rådatakommune[[#This Row],[B17-O]]</f>
        <v>0.11075136764541699</v>
      </c>
      <c r="R259" s="32">
        <f>Rådatakommune[[#This Row],[Eldre67+-O]]/Rådatakommune[[#This Row],[B17-O]]</f>
        <v>0.16277771575304231</v>
      </c>
      <c r="S259" s="32">
        <f>Rådatakommune[[#This Row],[S16-O]]/Rådatakommune[[#This Row],[S06-O]]-1</f>
        <v>8.2878953107960784E-2</v>
      </c>
      <c r="T259" s="32">
        <f>Rådatakommune[[#This Row],[Y16-O]]/Rådatakommune[[#This Row],[Folk20-64-O]]</f>
        <v>0.84869462025316456</v>
      </c>
    </row>
    <row r="260" spans="1:20" x14ac:dyDescent="0.25">
      <c r="A260" s="2" t="s">
        <v>255</v>
      </c>
      <c r="B260" s="2">
        <v>259</v>
      </c>
      <c r="C260" s="35">
        <v>6841</v>
      </c>
      <c r="D260" s="34">
        <v>8457</v>
      </c>
      <c r="E260" s="31">
        <v>4230</v>
      </c>
      <c r="F260" s="36">
        <v>1101</v>
      </c>
      <c r="G260" s="37">
        <v>959</v>
      </c>
      <c r="H260">
        <v>4940</v>
      </c>
      <c r="I260" s="31">
        <v>4075</v>
      </c>
      <c r="J260" s="31">
        <v>4690</v>
      </c>
      <c r="K260" s="7">
        <v>97.19</v>
      </c>
      <c r="L260" s="38">
        <v>449200</v>
      </c>
      <c r="M260" s="39">
        <v>184.15625</v>
      </c>
      <c r="N260">
        <v>5</v>
      </c>
      <c r="O260" s="30">
        <f>Rådatakommune[[#This Row],[B17-O]]/Rådatakommune[[#This Row],[Totalareal2017-O]]</f>
        <v>87.015125012861404</v>
      </c>
      <c r="P260" s="32">
        <f>Rådatakommune[[#This Row],[B17-O]]/Rådatakommune[[#This Row],[B07-O]]-1</f>
        <v>0.23622277444818018</v>
      </c>
      <c r="Q260" s="32">
        <f>Rådatakommune[[#This Row],[Kvinner20-39-O]]/Rådatakommune[[#This Row],[B17-O]]</f>
        <v>0.11339718576327303</v>
      </c>
      <c r="R260" s="32">
        <f>Rådatakommune[[#This Row],[Eldre67+-O]]/Rådatakommune[[#This Row],[B17-O]]</f>
        <v>0.13018800993260021</v>
      </c>
      <c r="S260" s="32">
        <f>Rådatakommune[[#This Row],[S16-O]]/Rådatakommune[[#This Row],[S06-O]]-1</f>
        <v>0.15092024539877302</v>
      </c>
      <c r="T260" s="32">
        <f>Rådatakommune[[#This Row],[Y16-O]]/Rådatakommune[[#This Row],[Folk20-64-O]]</f>
        <v>0.85627530364372473</v>
      </c>
    </row>
    <row r="261" spans="1:20" x14ac:dyDescent="0.25">
      <c r="A261" s="2" t="s">
        <v>256</v>
      </c>
      <c r="B261" s="2">
        <v>260</v>
      </c>
      <c r="C261" s="35">
        <v>4675</v>
      </c>
      <c r="D261" s="34">
        <v>5185</v>
      </c>
      <c r="E261" s="31">
        <v>2458</v>
      </c>
      <c r="F261" s="36">
        <v>792</v>
      </c>
      <c r="G261" s="37">
        <v>648</v>
      </c>
      <c r="H261">
        <v>2960</v>
      </c>
      <c r="I261" s="31">
        <v>2020</v>
      </c>
      <c r="J261" s="31">
        <v>1957</v>
      </c>
      <c r="K261" s="7">
        <v>82.26</v>
      </c>
      <c r="L261" s="38">
        <v>412000</v>
      </c>
      <c r="M261" s="39">
        <v>192.0625</v>
      </c>
      <c r="N261">
        <v>5</v>
      </c>
      <c r="O261" s="30">
        <f>Rådatakommune[[#This Row],[B17-O]]/Rådatakommune[[#This Row],[Totalareal2017-O]]</f>
        <v>63.031850230974953</v>
      </c>
      <c r="P261" s="32">
        <f>Rådatakommune[[#This Row],[B17-O]]/Rådatakommune[[#This Row],[B07-O]]-1</f>
        <v>0.10909090909090913</v>
      </c>
      <c r="Q261" s="32">
        <f>Rådatakommune[[#This Row],[Kvinner20-39-O]]/Rådatakommune[[#This Row],[B17-O]]</f>
        <v>0.12497589199614272</v>
      </c>
      <c r="R261" s="32">
        <f>Rådatakommune[[#This Row],[Eldre67+-O]]/Rådatakommune[[#This Row],[B17-O]]</f>
        <v>0.15274831243973</v>
      </c>
      <c r="S261" s="32">
        <f>Rådatakommune[[#This Row],[S16-O]]/Rådatakommune[[#This Row],[S06-O]]-1</f>
        <v>-3.1188118811881216E-2</v>
      </c>
      <c r="T261" s="32">
        <f>Rådatakommune[[#This Row],[Y16-O]]/Rådatakommune[[#This Row],[Folk20-64-O]]</f>
        <v>0.83040540540540542</v>
      </c>
    </row>
    <row r="262" spans="1:20" x14ac:dyDescent="0.25">
      <c r="A262" s="2" t="s">
        <v>257</v>
      </c>
      <c r="B262" s="2">
        <v>261</v>
      </c>
      <c r="C262" s="35">
        <v>8317</v>
      </c>
      <c r="D262" s="34">
        <v>9102</v>
      </c>
      <c r="E262" s="31">
        <v>4346</v>
      </c>
      <c r="F262" s="36">
        <v>1481</v>
      </c>
      <c r="G262" s="37">
        <v>1169</v>
      </c>
      <c r="H262">
        <v>5191</v>
      </c>
      <c r="I262" s="31">
        <v>4014</v>
      </c>
      <c r="J262" s="31">
        <v>4443</v>
      </c>
      <c r="K262" s="7">
        <v>547.24</v>
      </c>
      <c r="L262" s="38">
        <v>381900</v>
      </c>
      <c r="M262" s="39">
        <v>166.5625</v>
      </c>
      <c r="N262">
        <v>6</v>
      </c>
      <c r="O262" s="30">
        <f>Rådatakommune[[#This Row],[B17-O]]/Rådatakommune[[#This Row],[Totalareal2017-O]]</f>
        <v>16.632556099700313</v>
      </c>
      <c r="P262" s="32">
        <f>Rådatakommune[[#This Row],[B17-O]]/Rådatakommune[[#This Row],[B07-O]]-1</f>
        <v>9.438499458939531E-2</v>
      </c>
      <c r="Q262" s="32">
        <f>Rådatakommune[[#This Row],[Kvinner20-39-O]]/Rådatakommune[[#This Row],[B17-O]]</f>
        <v>0.12843331136014063</v>
      </c>
      <c r="R262" s="32">
        <f>Rådatakommune[[#This Row],[Eldre67+-O]]/Rådatakommune[[#This Row],[B17-O]]</f>
        <v>0.16271149197978466</v>
      </c>
      <c r="S262" s="32">
        <f>Rådatakommune[[#This Row],[S16-O]]/Rådatakommune[[#This Row],[S06-O]]-1</f>
        <v>0.10687593423019437</v>
      </c>
      <c r="T262" s="32">
        <f>Rådatakommune[[#This Row],[Y16-O]]/Rådatakommune[[#This Row],[Folk20-64-O]]</f>
        <v>0.83721826237719132</v>
      </c>
    </row>
    <row r="263" spans="1:20" x14ac:dyDescent="0.25">
      <c r="A263" s="2" t="s">
        <v>258</v>
      </c>
      <c r="B263" s="2">
        <v>262</v>
      </c>
      <c r="C263" s="35">
        <v>10162</v>
      </c>
      <c r="D263" s="34">
        <v>10744</v>
      </c>
      <c r="E263" s="31">
        <v>5306</v>
      </c>
      <c r="F263" s="36">
        <v>1802</v>
      </c>
      <c r="G263" s="37">
        <v>1237</v>
      </c>
      <c r="H263">
        <v>6025</v>
      </c>
      <c r="I263" s="31">
        <v>4491</v>
      </c>
      <c r="J263" s="31">
        <v>4519</v>
      </c>
      <c r="K263" s="7">
        <v>804.43</v>
      </c>
      <c r="L263" s="38">
        <v>407800</v>
      </c>
      <c r="M263" s="39">
        <v>164.15625</v>
      </c>
      <c r="N263">
        <v>6</v>
      </c>
      <c r="O263" s="30">
        <f>Rådatakommune[[#This Row],[B17-O]]/Rådatakommune[[#This Row],[Totalareal2017-O]]</f>
        <v>13.356040923386747</v>
      </c>
      <c r="P263" s="32">
        <f>Rådatakommune[[#This Row],[B17-O]]/Rådatakommune[[#This Row],[B07-O]]-1</f>
        <v>5.7272190513678378E-2</v>
      </c>
      <c r="Q263" s="32">
        <f>Rådatakommune[[#This Row],[Kvinner20-39-O]]/Rådatakommune[[#This Row],[B17-O]]</f>
        <v>0.11513402829486225</v>
      </c>
      <c r="R263" s="32">
        <f>Rådatakommune[[#This Row],[Eldre67+-O]]/Rådatakommune[[#This Row],[B17-O]]</f>
        <v>0.16772151898734178</v>
      </c>
      <c r="S263" s="32">
        <f>Rådatakommune[[#This Row],[S16-O]]/Rådatakommune[[#This Row],[S06-O]]-1</f>
        <v>6.2346916054329959E-3</v>
      </c>
      <c r="T263" s="32">
        <f>Rådatakommune[[#This Row],[Y16-O]]/Rådatakommune[[#This Row],[Folk20-64-O]]</f>
        <v>0.88066390041493781</v>
      </c>
    </row>
    <row r="264" spans="1:20" x14ac:dyDescent="0.25">
      <c r="A264" s="2" t="s">
        <v>259</v>
      </c>
      <c r="B264" s="2">
        <v>263</v>
      </c>
      <c r="C264" s="35">
        <v>2088</v>
      </c>
      <c r="D264" s="34">
        <v>2296</v>
      </c>
      <c r="E264" s="31">
        <v>1160</v>
      </c>
      <c r="F264" s="36">
        <v>387</v>
      </c>
      <c r="G264" s="37">
        <v>251</v>
      </c>
      <c r="H264">
        <v>1275</v>
      </c>
      <c r="I264" s="31">
        <v>895</v>
      </c>
      <c r="J264" s="31">
        <v>952</v>
      </c>
      <c r="K264" s="7">
        <v>132.35999999999999</v>
      </c>
      <c r="L264" s="38">
        <v>399500</v>
      </c>
      <c r="M264" s="39">
        <v>198.9375</v>
      </c>
      <c r="N264">
        <v>4</v>
      </c>
      <c r="O264" s="30">
        <f>Rådatakommune[[#This Row],[B17-O]]/Rådatakommune[[#This Row],[Totalareal2017-O]]</f>
        <v>17.346630401934121</v>
      </c>
      <c r="P264" s="32">
        <f>Rådatakommune[[#This Row],[B17-O]]/Rådatakommune[[#This Row],[B07-O]]-1</f>
        <v>9.9616858237547845E-2</v>
      </c>
      <c r="Q264" s="32">
        <f>Rådatakommune[[#This Row],[Kvinner20-39-O]]/Rådatakommune[[#This Row],[B17-O]]</f>
        <v>0.1093205574912892</v>
      </c>
      <c r="R264" s="32">
        <f>Rådatakommune[[#This Row],[Eldre67+-O]]/Rådatakommune[[#This Row],[B17-O]]</f>
        <v>0.16855400696864112</v>
      </c>
      <c r="S264" s="32">
        <f>Rådatakommune[[#This Row],[S16-O]]/Rådatakommune[[#This Row],[S06-O]]-1</f>
        <v>6.3687150837988815E-2</v>
      </c>
      <c r="T264" s="32">
        <f>Rådatakommune[[#This Row],[Y16-O]]/Rådatakommune[[#This Row],[Folk20-64-O]]</f>
        <v>0.90980392156862744</v>
      </c>
    </row>
    <row r="265" spans="1:20" x14ac:dyDescent="0.25">
      <c r="A265" s="2" t="s">
        <v>260</v>
      </c>
      <c r="B265" s="2">
        <v>264</v>
      </c>
      <c r="C265" s="35">
        <v>1817</v>
      </c>
      <c r="D265" s="34">
        <v>1663</v>
      </c>
      <c r="E265" s="31">
        <v>838</v>
      </c>
      <c r="F265" s="36">
        <v>348</v>
      </c>
      <c r="G265" s="37">
        <v>153</v>
      </c>
      <c r="H265">
        <v>868</v>
      </c>
      <c r="I265" s="31">
        <v>878</v>
      </c>
      <c r="J265" s="31">
        <v>812</v>
      </c>
      <c r="K265" s="7">
        <v>943.52</v>
      </c>
      <c r="L265" s="38">
        <v>379200</v>
      </c>
      <c r="M265" s="39">
        <v>236.84375</v>
      </c>
      <c r="N265">
        <v>9</v>
      </c>
      <c r="O265" s="30">
        <f>Rådatakommune[[#This Row],[B17-O]]/Rådatakommune[[#This Row],[Totalareal2017-O]]</f>
        <v>1.7625487536035271</v>
      </c>
      <c r="P265" s="32">
        <f>Rådatakommune[[#This Row],[B17-O]]/Rådatakommune[[#This Row],[B07-O]]-1</f>
        <v>-8.4755090809025879E-2</v>
      </c>
      <c r="Q265" s="32">
        <f>Rådatakommune[[#This Row],[Kvinner20-39-O]]/Rådatakommune[[#This Row],[B17-O]]</f>
        <v>9.2002405291641609E-2</v>
      </c>
      <c r="R265" s="32">
        <f>Rådatakommune[[#This Row],[Eldre67+-O]]/Rådatakommune[[#This Row],[B17-O]]</f>
        <v>0.20926037282020446</v>
      </c>
      <c r="S265" s="32">
        <f>Rådatakommune[[#This Row],[S16-O]]/Rådatakommune[[#This Row],[S06-O]]-1</f>
        <v>-7.5170842824601403E-2</v>
      </c>
      <c r="T265" s="32">
        <f>Rådatakommune[[#This Row],[Y16-O]]/Rådatakommune[[#This Row],[Folk20-64-O]]</f>
        <v>0.96543778801843316</v>
      </c>
    </row>
    <row r="266" spans="1:20" x14ac:dyDescent="0.25">
      <c r="A266" s="2" t="s">
        <v>261</v>
      </c>
      <c r="B266" s="2">
        <v>265</v>
      </c>
      <c r="C266" s="35">
        <v>4500</v>
      </c>
      <c r="D266" s="34">
        <v>4623</v>
      </c>
      <c r="E266" s="31">
        <v>2391</v>
      </c>
      <c r="F266" s="36">
        <v>922</v>
      </c>
      <c r="G266" s="37">
        <v>523</v>
      </c>
      <c r="H266">
        <v>2570</v>
      </c>
      <c r="I266" s="31">
        <v>2393</v>
      </c>
      <c r="J266" s="31">
        <v>2394</v>
      </c>
      <c r="K266" s="7">
        <v>865.86</v>
      </c>
      <c r="L266" s="38">
        <v>397200</v>
      </c>
      <c r="M266" s="39">
        <v>234.90625</v>
      </c>
      <c r="N266">
        <v>5</v>
      </c>
      <c r="O266" s="30">
        <f>Rådatakommune[[#This Row],[B17-O]]/Rådatakommune[[#This Row],[Totalareal2017-O]]</f>
        <v>5.3392003326172821</v>
      </c>
      <c r="P266" s="32">
        <f>Rådatakommune[[#This Row],[B17-O]]/Rådatakommune[[#This Row],[B07-O]]-1</f>
        <v>2.7333333333333432E-2</v>
      </c>
      <c r="Q266" s="32">
        <f>Rådatakommune[[#This Row],[Kvinner20-39-O]]/Rådatakommune[[#This Row],[B17-O]]</f>
        <v>0.11313000216309756</v>
      </c>
      <c r="R266" s="32">
        <f>Rådatakommune[[#This Row],[Eldre67+-O]]/Rådatakommune[[#This Row],[B17-O]]</f>
        <v>0.19943759463551805</v>
      </c>
      <c r="S266" s="32">
        <f>Rådatakommune[[#This Row],[S16-O]]/Rådatakommune[[#This Row],[S06-O]]-1</f>
        <v>4.1788549937327168E-4</v>
      </c>
      <c r="T266" s="32">
        <f>Rådatakommune[[#This Row],[Y16-O]]/Rådatakommune[[#This Row],[Folk20-64-O]]</f>
        <v>0.93035019455252921</v>
      </c>
    </row>
    <row r="267" spans="1:20" x14ac:dyDescent="0.25">
      <c r="A267" s="2" t="s">
        <v>262</v>
      </c>
      <c r="B267" s="2">
        <v>266</v>
      </c>
      <c r="C267" s="35">
        <v>984</v>
      </c>
      <c r="D267" s="34">
        <v>1005</v>
      </c>
      <c r="E267" s="31">
        <v>488</v>
      </c>
      <c r="F267" s="36">
        <v>177</v>
      </c>
      <c r="G267" s="37">
        <v>99</v>
      </c>
      <c r="H267">
        <v>551</v>
      </c>
      <c r="I267" s="31">
        <v>625</v>
      </c>
      <c r="J267" s="31">
        <v>461</v>
      </c>
      <c r="K267" s="7">
        <v>247.07</v>
      </c>
      <c r="L267" s="38">
        <v>364000</v>
      </c>
      <c r="M267" s="39">
        <v>215.4375</v>
      </c>
      <c r="N267">
        <v>4</v>
      </c>
      <c r="O267" s="30">
        <f>Rådatakommune[[#This Row],[B17-O]]/Rådatakommune[[#This Row],[Totalareal2017-O]]</f>
        <v>4.0676731290727322</v>
      </c>
      <c r="P267" s="32">
        <f>Rådatakommune[[#This Row],[B17-O]]/Rådatakommune[[#This Row],[B07-O]]-1</f>
        <v>2.1341463414634054E-2</v>
      </c>
      <c r="Q267" s="32">
        <f>Rådatakommune[[#This Row],[Kvinner20-39-O]]/Rådatakommune[[#This Row],[B17-O]]</f>
        <v>9.8507462686567168E-2</v>
      </c>
      <c r="R267" s="32">
        <f>Rådatakommune[[#This Row],[Eldre67+-O]]/Rådatakommune[[#This Row],[B17-O]]</f>
        <v>0.17611940298507461</v>
      </c>
      <c r="S267" s="32">
        <f>Rådatakommune[[#This Row],[S16-O]]/Rådatakommune[[#This Row],[S06-O]]-1</f>
        <v>-0.26239999999999997</v>
      </c>
      <c r="T267" s="32">
        <f>Rådatakommune[[#This Row],[Y16-O]]/Rådatakommune[[#This Row],[Folk20-64-O]]</f>
        <v>0.88566243194192373</v>
      </c>
    </row>
    <row r="268" spans="1:20" x14ac:dyDescent="0.25">
      <c r="A268" s="2" t="s">
        <v>263</v>
      </c>
      <c r="B268" s="2">
        <v>267</v>
      </c>
      <c r="C268" s="35">
        <v>7467</v>
      </c>
      <c r="D268" s="34">
        <v>7695</v>
      </c>
      <c r="E268" s="31">
        <v>3923</v>
      </c>
      <c r="F268" s="36">
        <v>1229</v>
      </c>
      <c r="G268" s="37">
        <v>827</v>
      </c>
      <c r="H268">
        <v>4334</v>
      </c>
      <c r="I268" s="31">
        <v>3970</v>
      </c>
      <c r="J268" s="31">
        <v>3669</v>
      </c>
      <c r="K268" s="7">
        <v>337.8</v>
      </c>
      <c r="L268" s="38">
        <v>401400</v>
      </c>
      <c r="M268" s="39">
        <v>208.6875</v>
      </c>
      <c r="N268">
        <v>4</v>
      </c>
      <c r="O268" s="30">
        <f>Rådatakommune[[#This Row],[B17-O]]/Rådatakommune[[#This Row],[Totalareal2017-O]]</f>
        <v>22.7797513321492</v>
      </c>
      <c r="P268" s="32">
        <f>Rådatakommune[[#This Row],[B17-O]]/Rådatakommune[[#This Row],[B07-O]]-1</f>
        <v>3.0534351145038219E-2</v>
      </c>
      <c r="Q268" s="32">
        <f>Rådatakommune[[#This Row],[Kvinner20-39-O]]/Rådatakommune[[#This Row],[B17-O]]</f>
        <v>0.10747238466536713</v>
      </c>
      <c r="R268" s="32">
        <f>Rådatakommune[[#This Row],[Eldre67+-O]]/Rådatakommune[[#This Row],[B17-O]]</f>
        <v>0.15971410006497727</v>
      </c>
      <c r="S268" s="32">
        <f>Rådatakommune[[#This Row],[S16-O]]/Rådatakommune[[#This Row],[S06-O]]-1</f>
        <v>-7.5818639798488685E-2</v>
      </c>
      <c r="T268" s="32">
        <f>Rådatakommune[[#This Row],[Y16-O]]/Rådatakommune[[#This Row],[Folk20-64-O]]</f>
        <v>0.90516843562528837</v>
      </c>
    </row>
    <row r="269" spans="1:20" x14ac:dyDescent="0.25">
      <c r="A269" s="2" t="s">
        <v>264</v>
      </c>
      <c r="B269" s="2">
        <v>268</v>
      </c>
      <c r="C269" s="35">
        <v>3668</v>
      </c>
      <c r="D269" s="34">
        <v>4667</v>
      </c>
      <c r="E269" s="31">
        <v>2393</v>
      </c>
      <c r="F269" s="36">
        <v>578</v>
      </c>
      <c r="G269" s="37">
        <v>625</v>
      </c>
      <c r="H269">
        <v>2729</v>
      </c>
      <c r="I269" s="31">
        <v>1092</v>
      </c>
      <c r="J269" s="31">
        <v>1576</v>
      </c>
      <c r="K269" s="7">
        <v>120.03</v>
      </c>
      <c r="L269" s="38">
        <v>427100</v>
      </c>
      <c r="M269" s="39">
        <v>190.59375</v>
      </c>
      <c r="N269">
        <v>4</v>
      </c>
      <c r="O269" s="30">
        <f>Rådatakommune[[#This Row],[B17-O]]/Rådatakommune[[#This Row],[Totalareal2017-O]]</f>
        <v>38.881946180121638</v>
      </c>
      <c r="P269" s="32">
        <f>Rådatakommune[[#This Row],[B17-O]]/Rådatakommune[[#This Row],[B07-O]]-1</f>
        <v>0.27235550708833145</v>
      </c>
      <c r="Q269" s="32">
        <f>Rådatakommune[[#This Row],[Kvinner20-39-O]]/Rådatakommune[[#This Row],[B17-O]]</f>
        <v>0.13391900578530105</v>
      </c>
      <c r="R269" s="32">
        <f>Rådatakommune[[#This Row],[Eldre67+-O]]/Rådatakommune[[#This Row],[B17-O]]</f>
        <v>0.12384829655024641</v>
      </c>
      <c r="S269" s="32">
        <f>Rådatakommune[[#This Row],[S16-O]]/Rådatakommune[[#This Row],[S06-O]]-1</f>
        <v>0.4432234432234432</v>
      </c>
      <c r="T269" s="32">
        <f>Rådatakommune[[#This Row],[Y16-O]]/Rådatakommune[[#This Row],[Folk20-64-O]]</f>
        <v>0.87687797728105532</v>
      </c>
    </row>
    <row r="270" spans="1:20" x14ac:dyDescent="0.25">
      <c r="A270" s="2" t="s">
        <v>265</v>
      </c>
      <c r="B270" s="2">
        <v>269</v>
      </c>
      <c r="C270" s="35">
        <v>7538</v>
      </c>
      <c r="D270" s="34">
        <v>9007</v>
      </c>
      <c r="E270" s="31">
        <v>4527</v>
      </c>
      <c r="F270" s="36">
        <v>1210</v>
      </c>
      <c r="G270" s="37">
        <v>1124</v>
      </c>
      <c r="H270">
        <v>5103</v>
      </c>
      <c r="I270" s="31">
        <v>2563</v>
      </c>
      <c r="J270" s="31">
        <v>2941</v>
      </c>
      <c r="K270" s="7">
        <v>58.5</v>
      </c>
      <c r="L270" s="38">
        <v>415300</v>
      </c>
      <c r="M270" s="39">
        <v>193.28125</v>
      </c>
      <c r="N270">
        <v>4</v>
      </c>
      <c r="O270" s="30">
        <f>Rådatakommune[[#This Row],[B17-O]]/Rådatakommune[[#This Row],[Totalareal2017-O]]</f>
        <v>153.96581196581195</v>
      </c>
      <c r="P270" s="32">
        <f>Rådatakommune[[#This Row],[B17-O]]/Rådatakommune[[#This Row],[B07-O]]-1</f>
        <v>0.19487927832316254</v>
      </c>
      <c r="Q270" s="32">
        <f>Rådatakommune[[#This Row],[Kvinner20-39-O]]/Rådatakommune[[#This Row],[B17-O]]</f>
        <v>0.12479182857777284</v>
      </c>
      <c r="R270" s="32">
        <f>Rådatakommune[[#This Row],[Eldre67+-O]]/Rådatakommune[[#This Row],[B17-O]]</f>
        <v>0.13433995781059177</v>
      </c>
      <c r="S270" s="32">
        <f>Rådatakommune[[#This Row],[S16-O]]/Rådatakommune[[#This Row],[S06-O]]-1</f>
        <v>0.147483417869684</v>
      </c>
      <c r="T270" s="32">
        <f>Rådatakommune[[#This Row],[Y16-O]]/Rådatakommune[[#This Row],[Folk20-64-O]]</f>
        <v>0.8871252204585538</v>
      </c>
    </row>
    <row r="271" spans="1:20" x14ac:dyDescent="0.25">
      <c r="A271" s="2" t="s">
        <v>266</v>
      </c>
      <c r="B271" s="2">
        <v>270</v>
      </c>
      <c r="C271" s="35">
        <v>6647</v>
      </c>
      <c r="D271" s="34">
        <v>8176</v>
      </c>
      <c r="E271" s="31">
        <v>4021</v>
      </c>
      <c r="F271" s="36">
        <v>1061</v>
      </c>
      <c r="G271" s="37">
        <v>1005</v>
      </c>
      <c r="H271">
        <v>4599</v>
      </c>
      <c r="I271" s="31">
        <v>2318</v>
      </c>
      <c r="J271" s="31">
        <v>2481</v>
      </c>
      <c r="K271" s="7">
        <v>40.529999999999994</v>
      </c>
      <c r="L271" s="38">
        <v>447700</v>
      </c>
      <c r="M271" s="39">
        <v>162.59375</v>
      </c>
      <c r="N271">
        <v>4</v>
      </c>
      <c r="O271" s="30">
        <f>Rådatakommune[[#This Row],[B17-O]]/Rådatakommune[[#This Row],[Totalareal2017-O]]</f>
        <v>201.72711571675305</v>
      </c>
      <c r="P271" s="32">
        <f>Rådatakommune[[#This Row],[B17-O]]/Rådatakommune[[#This Row],[B07-O]]-1</f>
        <v>0.23002858432375506</v>
      </c>
      <c r="Q271" s="32">
        <f>Rådatakommune[[#This Row],[Kvinner20-39-O]]/Rådatakommune[[#This Row],[B17-O]]</f>
        <v>0.12292074363992173</v>
      </c>
      <c r="R271" s="32">
        <f>Rådatakommune[[#This Row],[Eldre67+-O]]/Rådatakommune[[#This Row],[B17-O]]</f>
        <v>0.12977005870841488</v>
      </c>
      <c r="S271" s="32">
        <f>Rådatakommune[[#This Row],[S16-O]]/Rådatakommune[[#This Row],[S06-O]]-1</f>
        <v>7.031924072476281E-2</v>
      </c>
      <c r="T271" s="32">
        <f>Rådatakommune[[#This Row],[Y16-O]]/Rådatakommune[[#This Row],[Folk20-64-O]]</f>
        <v>0.87432050445749077</v>
      </c>
    </row>
    <row r="272" spans="1:20" x14ac:dyDescent="0.25">
      <c r="A272" s="2" t="s">
        <v>267</v>
      </c>
      <c r="B272" s="2">
        <v>271</v>
      </c>
      <c r="C272" s="35">
        <v>8606</v>
      </c>
      <c r="D272" s="34">
        <v>9312</v>
      </c>
      <c r="E272" s="31">
        <v>4569</v>
      </c>
      <c r="F272" s="36">
        <v>1570</v>
      </c>
      <c r="G272" s="37">
        <v>1046</v>
      </c>
      <c r="H272">
        <v>5235</v>
      </c>
      <c r="I272" s="31">
        <v>4124</v>
      </c>
      <c r="J272" s="31">
        <v>4069</v>
      </c>
      <c r="K272" s="7">
        <v>261.14</v>
      </c>
      <c r="L272" s="38">
        <v>413500</v>
      </c>
      <c r="M272" s="39">
        <v>196.8125</v>
      </c>
      <c r="N272">
        <v>4</v>
      </c>
      <c r="O272" s="30">
        <f>Rådatakommune[[#This Row],[B17-O]]/Rådatakommune[[#This Row],[Totalareal2017-O]]</f>
        <v>35.659033468637517</v>
      </c>
      <c r="P272" s="32">
        <f>Rådatakommune[[#This Row],[B17-O]]/Rådatakommune[[#This Row],[B07-O]]-1</f>
        <v>8.2035788984429425E-2</v>
      </c>
      <c r="Q272" s="32">
        <f>Rådatakommune[[#This Row],[Kvinner20-39-O]]/Rådatakommune[[#This Row],[B17-O]]</f>
        <v>0.11232817869415808</v>
      </c>
      <c r="R272" s="32">
        <f>Rådatakommune[[#This Row],[Eldre67+-O]]/Rådatakommune[[#This Row],[B17-O]]</f>
        <v>0.16859965635738833</v>
      </c>
      <c r="S272" s="32">
        <f>Rådatakommune[[#This Row],[S16-O]]/Rådatakommune[[#This Row],[S06-O]]-1</f>
        <v>-1.3336566440349196E-2</v>
      </c>
      <c r="T272" s="32">
        <f>Rådatakommune[[#This Row],[Y16-O]]/Rådatakommune[[#This Row],[Folk20-64-O]]</f>
        <v>0.87277936962750713</v>
      </c>
    </row>
    <row r="273" spans="1:20" x14ac:dyDescent="0.25">
      <c r="A273" s="2" t="s">
        <v>268</v>
      </c>
      <c r="B273" s="2">
        <v>272</v>
      </c>
      <c r="C273" s="35">
        <v>6402</v>
      </c>
      <c r="D273" s="34">
        <v>6577</v>
      </c>
      <c r="E273" s="31">
        <v>3223</v>
      </c>
      <c r="F273" s="36">
        <v>1107</v>
      </c>
      <c r="G273" s="37">
        <v>677</v>
      </c>
      <c r="H273">
        <v>3787</v>
      </c>
      <c r="I273" s="31">
        <v>2851</v>
      </c>
      <c r="J273" s="31">
        <v>2818</v>
      </c>
      <c r="K273" s="7">
        <v>352.02</v>
      </c>
      <c r="L273" s="38">
        <v>385500</v>
      </c>
      <c r="M273" s="39">
        <v>209.9375</v>
      </c>
      <c r="N273">
        <v>4</v>
      </c>
      <c r="O273" s="30">
        <f>Rådatakommune[[#This Row],[B17-O]]/Rådatakommune[[#This Row],[Totalareal2017-O]]</f>
        <v>18.68359752286802</v>
      </c>
      <c r="P273" s="32">
        <f>Rådatakommune[[#This Row],[B17-O]]/Rådatakommune[[#This Row],[B07-O]]-1</f>
        <v>2.7335207747578805E-2</v>
      </c>
      <c r="Q273" s="32">
        <f>Rådatakommune[[#This Row],[Kvinner20-39-O]]/Rådatakommune[[#This Row],[B17-O]]</f>
        <v>0.1029344686027064</v>
      </c>
      <c r="R273" s="32">
        <f>Rådatakommune[[#This Row],[Eldre67+-O]]/Rådatakommune[[#This Row],[B17-O]]</f>
        <v>0.16831382089098373</v>
      </c>
      <c r="S273" s="32">
        <f>Rådatakommune[[#This Row],[S16-O]]/Rådatakommune[[#This Row],[S06-O]]-1</f>
        <v>-1.1574886004910523E-2</v>
      </c>
      <c r="T273" s="32">
        <f>Rådatakommune[[#This Row],[Y16-O]]/Rådatakommune[[#This Row],[Folk20-64-O]]</f>
        <v>0.85106944811196195</v>
      </c>
    </row>
    <row r="274" spans="1:20" x14ac:dyDescent="0.25">
      <c r="A274" s="2" t="s">
        <v>269</v>
      </c>
      <c r="B274" s="2">
        <v>273</v>
      </c>
      <c r="C274" s="35">
        <v>7325</v>
      </c>
      <c r="D274" s="34">
        <v>7503</v>
      </c>
      <c r="E274" s="31">
        <v>3673</v>
      </c>
      <c r="F274" s="36">
        <v>1443</v>
      </c>
      <c r="G274" s="37">
        <v>763</v>
      </c>
      <c r="H274">
        <v>4136</v>
      </c>
      <c r="I274" s="31">
        <v>3444</v>
      </c>
      <c r="J274" s="31">
        <v>3327</v>
      </c>
      <c r="K274" s="7">
        <v>1502.15</v>
      </c>
      <c r="L274" s="38">
        <v>399500</v>
      </c>
      <c r="M274" s="39">
        <v>208.875</v>
      </c>
      <c r="N274">
        <v>5</v>
      </c>
      <c r="O274" s="30">
        <f>Rådatakommune[[#This Row],[B17-O]]/Rådatakommune[[#This Row],[Totalareal2017-O]]</f>
        <v>4.9948407282894518</v>
      </c>
      <c r="P274" s="32">
        <f>Rådatakommune[[#This Row],[B17-O]]/Rådatakommune[[#This Row],[B07-O]]-1</f>
        <v>2.4300341296928263E-2</v>
      </c>
      <c r="Q274" s="32">
        <f>Rådatakommune[[#This Row],[Kvinner20-39-O]]/Rådatakommune[[#This Row],[B17-O]]</f>
        <v>0.10169265627082501</v>
      </c>
      <c r="R274" s="32">
        <f>Rådatakommune[[#This Row],[Eldre67+-O]]/Rådatakommune[[#This Row],[B17-O]]</f>
        <v>0.19232307077169133</v>
      </c>
      <c r="S274" s="32">
        <f>Rådatakommune[[#This Row],[S16-O]]/Rådatakommune[[#This Row],[S06-O]]-1</f>
        <v>-3.3972125435540068E-2</v>
      </c>
      <c r="T274" s="32">
        <f>Rådatakommune[[#This Row],[Y16-O]]/Rådatakommune[[#This Row],[Folk20-64-O]]</f>
        <v>0.88805609284332687</v>
      </c>
    </row>
    <row r="275" spans="1:20" x14ac:dyDescent="0.25">
      <c r="A275" s="2" t="s">
        <v>270</v>
      </c>
      <c r="B275" s="2">
        <v>274</v>
      </c>
      <c r="C275" s="35">
        <v>3088</v>
      </c>
      <c r="D275" s="34">
        <v>2963</v>
      </c>
      <c r="E275" s="31">
        <v>1414</v>
      </c>
      <c r="F275" s="36">
        <v>584</v>
      </c>
      <c r="G275" s="37">
        <v>287</v>
      </c>
      <c r="H275">
        <v>1665</v>
      </c>
      <c r="I275" s="31">
        <v>1185</v>
      </c>
      <c r="J275" s="31">
        <v>862</v>
      </c>
      <c r="K275" s="7">
        <v>1046.07</v>
      </c>
      <c r="L275" s="38">
        <v>392000</v>
      </c>
      <c r="M275" s="39">
        <v>192.125</v>
      </c>
      <c r="N275">
        <v>4</v>
      </c>
      <c r="O275" s="30">
        <f>Rådatakommune[[#This Row],[B17-O]]/Rådatakommune[[#This Row],[Totalareal2017-O]]</f>
        <v>2.8325064288240749</v>
      </c>
      <c r="P275" s="32">
        <f>Rådatakommune[[#This Row],[B17-O]]/Rådatakommune[[#This Row],[B07-O]]-1</f>
        <v>-4.0479274611398997E-2</v>
      </c>
      <c r="Q275" s="32">
        <f>Rådatakommune[[#This Row],[Kvinner20-39-O]]/Rådatakommune[[#This Row],[B17-O]]</f>
        <v>9.6861289233884582E-2</v>
      </c>
      <c r="R275" s="32">
        <f>Rådatakommune[[#This Row],[Eldre67+-O]]/Rådatakommune[[#This Row],[B17-O]]</f>
        <v>0.19709753628079649</v>
      </c>
      <c r="S275" s="32">
        <f>Rådatakommune[[#This Row],[S16-O]]/Rådatakommune[[#This Row],[S06-O]]-1</f>
        <v>-0.2725738396624473</v>
      </c>
      <c r="T275" s="32">
        <f>Rådatakommune[[#This Row],[Y16-O]]/Rådatakommune[[#This Row],[Folk20-64-O]]</f>
        <v>0.84924924924924927</v>
      </c>
    </row>
    <row r="276" spans="1:20" x14ac:dyDescent="0.25">
      <c r="A276" s="2" t="s">
        <v>271</v>
      </c>
      <c r="B276" s="2">
        <v>275</v>
      </c>
      <c r="C276" s="35">
        <v>1910</v>
      </c>
      <c r="D276" s="34">
        <v>2085</v>
      </c>
      <c r="E276" s="31">
        <v>957</v>
      </c>
      <c r="F276" s="36">
        <v>393</v>
      </c>
      <c r="G276" s="37">
        <v>211</v>
      </c>
      <c r="H276">
        <v>1074</v>
      </c>
      <c r="I276" s="31">
        <v>780</v>
      </c>
      <c r="J276" s="31">
        <v>844</v>
      </c>
      <c r="K276" s="7">
        <v>94.65</v>
      </c>
      <c r="L276" s="38">
        <v>413600</v>
      </c>
      <c r="M276" s="39">
        <v>194.875</v>
      </c>
      <c r="N276">
        <v>4</v>
      </c>
      <c r="O276" s="30">
        <f>Rådatakommune[[#This Row],[B17-O]]/Rådatakommune[[#This Row],[Totalareal2017-O]]</f>
        <v>22.028526148969888</v>
      </c>
      <c r="P276" s="32">
        <f>Rådatakommune[[#This Row],[B17-O]]/Rådatakommune[[#This Row],[B07-O]]-1</f>
        <v>9.1623036649214562E-2</v>
      </c>
      <c r="Q276" s="32">
        <f>Rådatakommune[[#This Row],[Kvinner20-39-O]]/Rådatakommune[[#This Row],[B17-O]]</f>
        <v>0.10119904076738609</v>
      </c>
      <c r="R276" s="32">
        <f>Rådatakommune[[#This Row],[Eldre67+-O]]/Rådatakommune[[#This Row],[B17-O]]</f>
        <v>0.18848920863309351</v>
      </c>
      <c r="S276" s="32">
        <f>Rådatakommune[[#This Row],[S16-O]]/Rådatakommune[[#This Row],[S06-O]]-1</f>
        <v>8.2051282051281982E-2</v>
      </c>
      <c r="T276" s="32">
        <f>Rådatakommune[[#This Row],[Y16-O]]/Rådatakommune[[#This Row],[Folk20-64-O]]</f>
        <v>0.89106145251396651</v>
      </c>
    </row>
    <row r="277" spans="1:20" x14ac:dyDescent="0.25">
      <c r="A277" s="2" t="s">
        <v>272</v>
      </c>
      <c r="B277" s="2">
        <v>276</v>
      </c>
      <c r="C277" s="35">
        <v>1276</v>
      </c>
      <c r="D277" s="34">
        <v>1246</v>
      </c>
      <c r="E277" s="31">
        <v>634</v>
      </c>
      <c r="F277" s="36">
        <v>248</v>
      </c>
      <c r="G277" s="37">
        <v>106</v>
      </c>
      <c r="H277">
        <v>672</v>
      </c>
      <c r="I277" s="31">
        <v>630</v>
      </c>
      <c r="J277" s="31">
        <v>649</v>
      </c>
      <c r="K277" s="7">
        <v>21.43</v>
      </c>
      <c r="L277" s="38">
        <v>478700</v>
      </c>
      <c r="M277" s="39">
        <v>263.625</v>
      </c>
      <c r="N277">
        <v>11</v>
      </c>
      <c r="O277" s="30">
        <f>Rådatakommune[[#This Row],[B17-O]]/Rådatakommune[[#This Row],[Totalareal2017-O]]</f>
        <v>58.142790480634623</v>
      </c>
      <c r="P277" s="32">
        <f>Rådatakommune[[#This Row],[B17-O]]/Rådatakommune[[#This Row],[B07-O]]-1</f>
        <v>-2.3510971786833812E-2</v>
      </c>
      <c r="Q277" s="32">
        <f>Rådatakommune[[#This Row],[Kvinner20-39-O]]/Rådatakommune[[#This Row],[B17-O]]</f>
        <v>8.5072231139646876E-2</v>
      </c>
      <c r="R277" s="32">
        <f>Rådatakommune[[#This Row],[Eldre67+-O]]/Rådatakommune[[#This Row],[B17-O]]</f>
        <v>0.19903691813804172</v>
      </c>
      <c r="S277" s="32">
        <f>Rådatakommune[[#This Row],[S16-O]]/Rådatakommune[[#This Row],[S06-O]]-1</f>
        <v>3.0158730158730052E-2</v>
      </c>
      <c r="T277" s="32">
        <f>Rådatakommune[[#This Row],[Y16-O]]/Rådatakommune[[#This Row],[Folk20-64-O]]</f>
        <v>0.94345238095238093</v>
      </c>
    </row>
    <row r="278" spans="1:20" x14ac:dyDescent="0.25">
      <c r="A278" s="2" t="s">
        <v>273</v>
      </c>
      <c r="B278" s="2">
        <v>277</v>
      </c>
      <c r="C278" s="35">
        <v>3142</v>
      </c>
      <c r="D278" s="34">
        <v>3547</v>
      </c>
      <c r="E278" s="31">
        <v>1672</v>
      </c>
      <c r="F278" s="36">
        <v>602</v>
      </c>
      <c r="G278" s="37">
        <v>426</v>
      </c>
      <c r="H278">
        <v>1926</v>
      </c>
      <c r="I278" s="31">
        <v>1389</v>
      </c>
      <c r="J278" s="31">
        <v>1478</v>
      </c>
      <c r="K278" s="7">
        <v>59.080000000000005</v>
      </c>
      <c r="L278" s="38">
        <v>440000</v>
      </c>
      <c r="M278" s="39">
        <v>191.96875</v>
      </c>
      <c r="N278">
        <v>4</v>
      </c>
      <c r="O278" s="30">
        <f>Rådatakommune[[#This Row],[B17-O]]/Rådatakommune[[#This Row],[Totalareal2017-O]]</f>
        <v>60.037237643872707</v>
      </c>
      <c r="P278" s="32">
        <f>Rådatakommune[[#This Row],[B17-O]]/Rådatakommune[[#This Row],[B07-O]]-1</f>
        <v>0.12889879057924891</v>
      </c>
      <c r="Q278" s="32">
        <f>Rådatakommune[[#This Row],[Kvinner20-39-O]]/Rådatakommune[[#This Row],[B17-O]]</f>
        <v>0.12010149422046801</v>
      </c>
      <c r="R278" s="32">
        <f>Rådatakommune[[#This Row],[Eldre67+-O]]/Rådatakommune[[#This Row],[B17-O]]</f>
        <v>0.16972089089371301</v>
      </c>
      <c r="S278" s="32">
        <f>Rådatakommune[[#This Row],[S16-O]]/Rådatakommune[[#This Row],[S06-O]]-1</f>
        <v>6.4074874010079164E-2</v>
      </c>
      <c r="T278" s="32">
        <f>Rådatakommune[[#This Row],[Y16-O]]/Rådatakommune[[#This Row],[Folk20-64-O]]</f>
        <v>0.86812045690550366</v>
      </c>
    </row>
    <row r="279" spans="1:20" x14ac:dyDescent="0.25">
      <c r="A279" s="2" t="s">
        <v>274</v>
      </c>
      <c r="B279" s="2">
        <v>278</v>
      </c>
      <c r="C279" s="35">
        <v>9131</v>
      </c>
      <c r="D279" s="34">
        <v>9741</v>
      </c>
      <c r="E279" s="31">
        <v>4911</v>
      </c>
      <c r="F279" s="36">
        <v>1522</v>
      </c>
      <c r="G279" s="37">
        <v>1145</v>
      </c>
      <c r="H279">
        <v>5520</v>
      </c>
      <c r="I279" s="31">
        <v>3519</v>
      </c>
      <c r="J279" s="31">
        <v>3407</v>
      </c>
      <c r="K279" s="7">
        <v>369.74</v>
      </c>
      <c r="L279" s="38">
        <v>416200</v>
      </c>
      <c r="M279" s="39">
        <v>166.25</v>
      </c>
      <c r="N279">
        <v>4</v>
      </c>
      <c r="O279" s="30">
        <f>Rådatakommune[[#This Row],[B17-O]]/Rådatakommune[[#This Row],[Totalareal2017-O]]</f>
        <v>26.345540109265968</v>
      </c>
      <c r="P279" s="32">
        <f>Rådatakommune[[#This Row],[B17-O]]/Rådatakommune[[#This Row],[B07-O]]-1</f>
        <v>6.6805388237870966E-2</v>
      </c>
      <c r="Q279" s="32">
        <f>Rådatakommune[[#This Row],[Kvinner20-39-O]]/Rådatakommune[[#This Row],[B17-O]]</f>
        <v>0.11754439995893645</v>
      </c>
      <c r="R279" s="32">
        <f>Rådatakommune[[#This Row],[Eldre67+-O]]/Rådatakommune[[#This Row],[B17-O]]</f>
        <v>0.15624679191048146</v>
      </c>
      <c r="S279" s="32">
        <f>Rådatakommune[[#This Row],[S16-O]]/Rådatakommune[[#This Row],[S06-O]]-1</f>
        <v>-3.1827223643080438E-2</v>
      </c>
      <c r="T279" s="32">
        <f>Rådatakommune[[#This Row],[Y16-O]]/Rådatakommune[[#This Row],[Folk20-64-O]]</f>
        <v>0.88967391304347831</v>
      </c>
    </row>
    <row r="280" spans="1:20" x14ac:dyDescent="0.25">
      <c r="A280" s="2" t="s">
        <v>275</v>
      </c>
      <c r="B280" s="2">
        <v>279</v>
      </c>
      <c r="C280" s="35">
        <v>3365</v>
      </c>
      <c r="D280" s="34">
        <v>3454</v>
      </c>
      <c r="E280" s="31">
        <v>1730</v>
      </c>
      <c r="F280" s="36">
        <v>529</v>
      </c>
      <c r="G280" s="37">
        <v>382</v>
      </c>
      <c r="H280">
        <v>1921</v>
      </c>
      <c r="I280" s="31">
        <v>1403</v>
      </c>
      <c r="J280" s="31">
        <v>1248</v>
      </c>
      <c r="K280" s="7">
        <v>152.09</v>
      </c>
      <c r="L280" s="38">
        <v>416000</v>
      </c>
      <c r="M280" s="39">
        <v>172.65625</v>
      </c>
      <c r="N280">
        <v>4</v>
      </c>
      <c r="O280" s="30">
        <f>Rådatakommune[[#This Row],[B17-O]]/Rådatakommune[[#This Row],[Totalareal2017-O]]</f>
        <v>22.710237359458215</v>
      </c>
      <c r="P280" s="32">
        <f>Rådatakommune[[#This Row],[B17-O]]/Rådatakommune[[#This Row],[B07-O]]-1</f>
        <v>2.6448736998514022E-2</v>
      </c>
      <c r="Q280" s="32">
        <f>Rådatakommune[[#This Row],[Kvinner20-39-O]]/Rådatakommune[[#This Row],[B17-O]]</f>
        <v>0.11059640995946729</v>
      </c>
      <c r="R280" s="32">
        <f>Rådatakommune[[#This Row],[Eldre67+-O]]/Rådatakommune[[#This Row],[B17-O]]</f>
        <v>0.15315576143601622</v>
      </c>
      <c r="S280" s="32">
        <f>Rådatakommune[[#This Row],[S16-O]]/Rådatakommune[[#This Row],[S06-O]]-1</f>
        <v>-0.11047754811119026</v>
      </c>
      <c r="T280" s="32">
        <f>Rådatakommune[[#This Row],[Y16-O]]/Rådatakommune[[#This Row],[Folk20-64-O]]</f>
        <v>0.90057261842790215</v>
      </c>
    </row>
    <row r="281" spans="1:20" x14ac:dyDescent="0.25">
      <c r="A281" s="2" t="s">
        <v>276</v>
      </c>
      <c r="B281" s="2">
        <v>280</v>
      </c>
      <c r="C281" s="35">
        <v>5367</v>
      </c>
      <c r="D281" s="34">
        <v>5856</v>
      </c>
      <c r="E281" s="31">
        <v>2815</v>
      </c>
      <c r="F281" s="36">
        <v>983</v>
      </c>
      <c r="G281" s="37">
        <v>641</v>
      </c>
      <c r="H281">
        <v>3304</v>
      </c>
      <c r="I281" s="31">
        <v>2082</v>
      </c>
      <c r="J281" s="31">
        <v>2213</v>
      </c>
      <c r="K281" s="7">
        <v>175.68</v>
      </c>
      <c r="L281" s="38">
        <v>431500</v>
      </c>
      <c r="M281" s="39">
        <v>173.84375</v>
      </c>
      <c r="N281">
        <v>5</v>
      </c>
      <c r="O281" s="30">
        <f>Rådatakommune[[#This Row],[B17-O]]/Rådatakommune[[#This Row],[Totalareal2017-O]]</f>
        <v>33.333333333333329</v>
      </c>
      <c r="P281" s="32">
        <f>Rådatakommune[[#This Row],[B17-O]]/Rådatakommune[[#This Row],[B07-O]]-1</f>
        <v>9.1112353269983126E-2</v>
      </c>
      <c r="Q281" s="32">
        <f>Rådatakommune[[#This Row],[Kvinner20-39-O]]/Rådatakommune[[#This Row],[B17-O]]</f>
        <v>0.10946038251366121</v>
      </c>
      <c r="R281" s="32">
        <f>Rådatakommune[[#This Row],[Eldre67+-O]]/Rådatakommune[[#This Row],[B17-O]]</f>
        <v>0.16786202185792351</v>
      </c>
      <c r="S281" s="32">
        <f>Rådatakommune[[#This Row],[S16-O]]/Rådatakommune[[#This Row],[S06-O]]-1</f>
        <v>6.2920268972142201E-2</v>
      </c>
      <c r="T281" s="32">
        <f>Rådatakommune[[#This Row],[Y16-O]]/Rådatakommune[[#This Row],[Folk20-64-O]]</f>
        <v>0.85199757869249393</v>
      </c>
    </row>
    <row r="282" spans="1:20" x14ac:dyDescent="0.25">
      <c r="A282" s="2" t="s">
        <v>277</v>
      </c>
      <c r="B282" s="2">
        <v>281</v>
      </c>
      <c r="C282" s="35">
        <v>2647</v>
      </c>
      <c r="D282" s="34">
        <v>2611</v>
      </c>
      <c r="E282" s="31">
        <v>1275</v>
      </c>
      <c r="F282" s="36">
        <v>492</v>
      </c>
      <c r="G282" s="37">
        <v>275</v>
      </c>
      <c r="H282">
        <v>1398</v>
      </c>
      <c r="I282" s="31">
        <v>815</v>
      </c>
      <c r="J282" s="31">
        <v>820</v>
      </c>
      <c r="K282" s="7">
        <v>381.63</v>
      </c>
      <c r="L282" s="38">
        <v>401800</v>
      </c>
      <c r="M282" s="39">
        <v>176.375</v>
      </c>
      <c r="N282">
        <v>4</v>
      </c>
      <c r="O282" s="30">
        <f>Rådatakommune[[#This Row],[B17-O]]/Rådatakommune[[#This Row],[Totalareal2017-O]]</f>
        <v>6.8417053166679773</v>
      </c>
      <c r="P282" s="32">
        <f>Rådatakommune[[#This Row],[B17-O]]/Rådatakommune[[#This Row],[B07-O]]-1</f>
        <v>-1.3600302228938377E-2</v>
      </c>
      <c r="Q282" s="32">
        <f>Rådatakommune[[#This Row],[Kvinner20-39-O]]/Rådatakommune[[#This Row],[B17-O]]</f>
        <v>0.10532363079279969</v>
      </c>
      <c r="R282" s="32">
        <f>Rådatakommune[[#This Row],[Eldre67+-O]]/Rådatakommune[[#This Row],[B17-O]]</f>
        <v>0.18843355036384526</v>
      </c>
      <c r="S282" s="32">
        <f>Rådatakommune[[#This Row],[S16-O]]/Rådatakommune[[#This Row],[S06-O]]-1</f>
        <v>6.1349693251533388E-3</v>
      </c>
      <c r="T282" s="32">
        <f>Rådatakommune[[#This Row],[Y16-O]]/Rådatakommune[[#This Row],[Folk20-64-O]]</f>
        <v>0.91201716738197425</v>
      </c>
    </row>
    <row r="283" spans="1:20" x14ac:dyDescent="0.25">
      <c r="A283" s="2" t="s">
        <v>278</v>
      </c>
      <c r="B283" s="2">
        <v>282</v>
      </c>
      <c r="C283" s="35">
        <v>3084</v>
      </c>
      <c r="D283" s="34">
        <v>3109</v>
      </c>
      <c r="E283" s="31">
        <v>1428</v>
      </c>
      <c r="F283" s="36">
        <v>662</v>
      </c>
      <c r="G283" s="37">
        <v>292</v>
      </c>
      <c r="H283">
        <v>1676</v>
      </c>
      <c r="I283" s="31">
        <v>1080</v>
      </c>
      <c r="J283" s="31">
        <v>1007</v>
      </c>
      <c r="K283" s="7">
        <v>336.76</v>
      </c>
      <c r="L283" s="38">
        <v>370500</v>
      </c>
      <c r="M283" s="39">
        <v>195.3125</v>
      </c>
      <c r="N283">
        <v>5</v>
      </c>
      <c r="O283" s="30">
        <f>Rådatakommune[[#This Row],[B17-O]]/Rådatakommune[[#This Row],[Totalareal2017-O]]</f>
        <v>9.232094072930277</v>
      </c>
      <c r="P283" s="32">
        <f>Rådatakommune[[#This Row],[B17-O]]/Rådatakommune[[#This Row],[B07-O]]-1</f>
        <v>8.1063553826199453E-3</v>
      </c>
      <c r="Q283" s="32">
        <f>Rådatakommune[[#This Row],[Kvinner20-39-O]]/Rådatakommune[[#This Row],[B17-O]]</f>
        <v>9.3920874879382443E-2</v>
      </c>
      <c r="R283" s="32">
        <f>Rådatakommune[[#This Row],[Eldre67+-O]]/Rådatakommune[[#This Row],[B17-O]]</f>
        <v>0.21293020263750401</v>
      </c>
      <c r="S283" s="32">
        <f>Rådatakommune[[#This Row],[S16-O]]/Rådatakommune[[#This Row],[S06-O]]-1</f>
        <v>-6.7592592592592537E-2</v>
      </c>
      <c r="T283" s="32">
        <f>Rådatakommune[[#This Row],[Y16-O]]/Rådatakommune[[#This Row],[Folk20-64-O]]</f>
        <v>0.85202863961813846</v>
      </c>
    </row>
    <row r="284" spans="1:20" x14ac:dyDescent="0.25">
      <c r="A284" s="2" t="s">
        <v>279</v>
      </c>
      <c r="B284" s="2">
        <v>283</v>
      </c>
      <c r="C284" s="35">
        <v>7333</v>
      </c>
      <c r="D284" s="34">
        <v>7126</v>
      </c>
      <c r="E284" s="31">
        <v>3431</v>
      </c>
      <c r="F284" s="36">
        <v>1255</v>
      </c>
      <c r="G284" s="37">
        <v>695</v>
      </c>
      <c r="H284">
        <v>4072</v>
      </c>
      <c r="I284" s="31">
        <v>3978</v>
      </c>
      <c r="J284" s="31">
        <v>3802</v>
      </c>
      <c r="K284" s="7">
        <v>1713.44</v>
      </c>
      <c r="L284" s="38">
        <v>398900</v>
      </c>
      <c r="M284" s="39">
        <v>220.46875</v>
      </c>
      <c r="N284">
        <v>9</v>
      </c>
      <c r="O284" s="30">
        <f>Rådatakommune[[#This Row],[B17-O]]/Rådatakommune[[#This Row],[Totalareal2017-O]]</f>
        <v>4.1588850499579788</v>
      </c>
      <c r="P284" s="32">
        <f>Rådatakommune[[#This Row],[B17-O]]/Rådatakommune[[#This Row],[B07-O]]-1</f>
        <v>-2.8228555843447412E-2</v>
      </c>
      <c r="Q284" s="32">
        <f>Rådatakommune[[#This Row],[Kvinner20-39-O]]/Rådatakommune[[#This Row],[B17-O]]</f>
        <v>9.7530171204041533E-2</v>
      </c>
      <c r="R284" s="32">
        <f>Rådatakommune[[#This Row],[Eldre67+-O]]/Rådatakommune[[#This Row],[B17-O]]</f>
        <v>0.17611563289362897</v>
      </c>
      <c r="S284" s="32">
        <f>Rådatakommune[[#This Row],[S16-O]]/Rådatakommune[[#This Row],[S06-O]]-1</f>
        <v>-4.4243338360985374E-2</v>
      </c>
      <c r="T284" s="32">
        <f>Rådatakommune[[#This Row],[Y16-O]]/Rådatakommune[[#This Row],[Folk20-64-O]]</f>
        <v>0.84258349705304514</v>
      </c>
    </row>
    <row r="285" spans="1:20" x14ac:dyDescent="0.25">
      <c r="A285" s="2" t="s">
        <v>280</v>
      </c>
      <c r="B285" s="2">
        <v>284</v>
      </c>
      <c r="C285" s="35">
        <v>6049</v>
      </c>
      <c r="D285" s="34">
        <v>5986</v>
      </c>
      <c r="E285" s="31">
        <v>2995</v>
      </c>
      <c r="F285" s="36">
        <v>1145</v>
      </c>
      <c r="G285" s="37">
        <v>614</v>
      </c>
      <c r="H285">
        <v>3331</v>
      </c>
      <c r="I285" s="31">
        <v>2766</v>
      </c>
      <c r="J285" s="31">
        <v>2906</v>
      </c>
      <c r="K285" s="7">
        <v>1366.05</v>
      </c>
      <c r="L285" s="38">
        <v>373100</v>
      </c>
      <c r="M285" s="39">
        <v>248.21875</v>
      </c>
      <c r="N285">
        <v>9</v>
      </c>
      <c r="O285" s="30">
        <f>Rådatakommune[[#This Row],[B17-O]]/Rådatakommune[[#This Row],[Totalareal2017-O]]</f>
        <v>4.3819772336298088</v>
      </c>
      <c r="P285" s="32">
        <f>Rådatakommune[[#This Row],[B17-O]]/Rådatakommune[[#This Row],[B07-O]]-1</f>
        <v>-1.0414944618945321E-2</v>
      </c>
      <c r="Q285" s="32">
        <f>Rådatakommune[[#This Row],[Kvinner20-39-O]]/Rådatakommune[[#This Row],[B17-O]]</f>
        <v>0.10257266956231206</v>
      </c>
      <c r="R285" s="32">
        <f>Rådatakommune[[#This Row],[Eldre67+-O]]/Rådatakommune[[#This Row],[B17-O]]</f>
        <v>0.19127965252255263</v>
      </c>
      <c r="S285" s="32">
        <f>Rådatakommune[[#This Row],[S16-O]]/Rådatakommune[[#This Row],[S06-O]]-1</f>
        <v>5.0614605929139467E-2</v>
      </c>
      <c r="T285" s="32">
        <f>Rådatakommune[[#This Row],[Y16-O]]/Rådatakommune[[#This Row],[Folk20-64-O]]</f>
        <v>0.89912939057340135</v>
      </c>
    </row>
    <row r="286" spans="1:20" x14ac:dyDescent="0.25">
      <c r="A286" s="2" t="s">
        <v>281</v>
      </c>
      <c r="B286" s="2">
        <v>285</v>
      </c>
      <c r="C286" s="35">
        <v>2061</v>
      </c>
      <c r="D286" s="34">
        <v>2026</v>
      </c>
      <c r="E286" s="31">
        <v>1008</v>
      </c>
      <c r="F286" s="36">
        <v>428</v>
      </c>
      <c r="G286" s="37">
        <v>208</v>
      </c>
      <c r="H286">
        <v>1072</v>
      </c>
      <c r="I286" s="31">
        <v>916</v>
      </c>
      <c r="J286" s="31">
        <v>872</v>
      </c>
      <c r="K286" s="7">
        <v>631.84</v>
      </c>
      <c r="L286" s="38">
        <v>373700</v>
      </c>
      <c r="M286" s="39">
        <v>253.53125</v>
      </c>
      <c r="N286">
        <v>9</v>
      </c>
      <c r="O286" s="30">
        <f>Rådatakommune[[#This Row],[B17-O]]/Rådatakommune[[#This Row],[Totalareal2017-O]]</f>
        <v>3.2065079767029627</v>
      </c>
      <c r="P286" s="32">
        <f>Rådatakommune[[#This Row],[B17-O]]/Rådatakommune[[#This Row],[B07-O]]-1</f>
        <v>-1.6982047549733092E-2</v>
      </c>
      <c r="Q286" s="32">
        <f>Rådatakommune[[#This Row],[Kvinner20-39-O]]/Rådatakommune[[#This Row],[B17-O]]</f>
        <v>0.10266535044422508</v>
      </c>
      <c r="R286" s="32">
        <f>Rådatakommune[[#This Row],[Eldre67+-O]]/Rådatakommune[[#This Row],[B17-O]]</f>
        <v>0.21125370187561698</v>
      </c>
      <c r="S286" s="32">
        <f>Rådatakommune[[#This Row],[S16-O]]/Rådatakommune[[#This Row],[S06-O]]-1</f>
        <v>-4.8034934497816595E-2</v>
      </c>
      <c r="T286" s="32">
        <f>Rådatakommune[[#This Row],[Y16-O]]/Rådatakommune[[#This Row],[Folk20-64-O]]</f>
        <v>0.94029850746268662</v>
      </c>
    </row>
    <row r="287" spans="1:20" x14ac:dyDescent="0.25">
      <c r="A287" s="2" t="s">
        <v>282</v>
      </c>
      <c r="B287" s="2">
        <v>286</v>
      </c>
      <c r="C287" s="35">
        <v>1671</v>
      </c>
      <c r="D287" s="34">
        <v>1599</v>
      </c>
      <c r="E287" s="31">
        <v>719</v>
      </c>
      <c r="F287" s="36">
        <v>374</v>
      </c>
      <c r="G287" s="37">
        <v>145</v>
      </c>
      <c r="H287">
        <v>849</v>
      </c>
      <c r="I287" s="31">
        <v>735</v>
      </c>
      <c r="J287" s="31">
        <v>686</v>
      </c>
      <c r="K287" s="7">
        <v>300.53000000000003</v>
      </c>
      <c r="L287" s="38">
        <v>366800</v>
      </c>
      <c r="M287" s="39">
        <v>226.59375</v>
      </c>
      <c r="N287">
        <v>9</v>
      </c>
      <c r="O287" s="30">
        <f>Rådatakommune[[#This Row],[B17-O]]/Rådatakommune[[#This Row],[Totalareal2017-O]]</f>
        <v>5.3206002728512951</v>
      </c>
      <c r="P287" s="32">
        <f>Rådatakommune[[#This Row],[B17-O]]/Rådatakommune[[#This Row],[B07-O]]-1</f>
        <v>-4.3087971274685777E-2</v>
      </c>
      <c r="Q287" s="32">
        <f>Rådatakommune[[#This Row],[Kvinner20-39-O]]/Rådatakommune[[#This Row],[B17-O]]</f>
        <v>9.0681676047529705E-2</v>
      </c>
      <c r="R287" s="32">
        <f>Rådatakommune[[#This Row],[Eldre67+-O]]/Rådatakommune[[#This Row],[B17-O]]</f>
        <v>0.23389618511569732</v>
      </c>
      <c r="S287" s="32">
        <f>Rådatakommune[[#This Row],[S16-O]]/Rådatakommune[[#This Row],[S06-O]]-1</f>
        <v>-6.6666666666666652E-2</v>
      </c>
      <c r="T287" s="32">
        <f>Rådatakommune[[#This Row],[Y16-O]]/Rådatakommune[[#This Row],[Folk20-64-O]]</f>
        <v>0.84687868080094231</v>
      </c>
    </row>
    <row r="288" spans="1:20" x14ac:dyDescent="0.25">
      <c r="A288" s="2" t="s">
        <v>283</v>
      </c>
      <c r="B288" s="2">
        <v>287</v>
      </c>
      <c r="C288" s="35">
        <v>2165</v>
      </c>
      <c r="D288" s="34">
        <v>2160</v>
      </c>
      <c r="E288" s="31">
        <v>1073</v>
      </c>
      <c r="F288" s="36">
        <v>436</v>
      </c>
      <c r="G288" s="37">
        <v>224</v>
      </c>
      <c r="H288">
        <v>1211</v>
      </c>
      <c r="I288" s="31">
        <v>938</v>
      </c>
      <c r="J288" s="31">
        <v>1055</v>
      </c>
      <c r="K288" s="7">
        <v>271.90999999999997</v>
      </c>
      <c r="L288" s="38">
        <v>398100</v>
      </c>
      <c r="M288" s="39">
        <v>259.75</v>
      </c>
      <c r="N288">
        <v>11</v>
      </c>
      <c r="O288" s="30">
        <f>Rådatakommune[[#This Row],[B17-O]]/Rådatakommune[[#This Row],[Totalareal2017-O]]</f>
        <v>7.9438049354565861</v>
      </c>
      <c r="P288" s="32">
        <f>Rådatakommune[[#This Row],[B17-O]]/Rådatakommune[[#This Row],[B07-O]]-1</f>
        <v>-2.3094688221708681E-3</v>
      </c>
      <c r="Q288" s="32">
        <f>Rådatakommune[[#This Row],[Kvinner20-39-O]]/Rådatakommune[[#This Row],[B17-O]]</f>
        <v>0.1037037037037037</v>
      </c>
      <c r="R288" s="32">
        <f>Rådatakommune[[#This Row],[Eldre67+-O]]/Rådatakommune[[#This Row],[B17-O]]</f>
        <v>0.20185185185185187</v>
      </c>
      <c r="S288" s="32">
        <f>Rådatakommune[[#This Row],[S16-O]]/Rådatakommune[[#This Row],[S06-O]]-1</f>
        <v>0.12473347547974423</v>
      </c>
      <c r="T288" s="32">
        <f>Rådatakommune[[#This Row],[Y16-O]]/Rådatakommune[[#This Row],[Folk20-64-O]]</f>
        <v>0.88604459124690338</v>
      </c>
    </row>
    <row r="289" spans="1:20" x14ac:dyDescent="0.25">
      <c r="A289" s="2" t="s">
        <v>284</v>
      </c>
      <c r="B289" s="2">
        <v>288</v>
      </c>
      <c r="C289" s="35">
        <v>3515</v>
      </c>
      <c r="D289" s="34">
        <v>3590</v>
      </c>
      <c r="E289" s="31">
        <v>1717</v>
      </c>
      <c r="F289" s="36">
        <v>739</v>
      </c>
      <c r="G289" s="37">
        <v>347</v>
      </c>
      <c r="H289">
        <v>1952</v>
      </c>
      <c r="I289" s="40">
        <v>1529</v>
      </c>
      <c r="J289" s="31">
        <v>1560</v>
      </c>
      <c r="K289" s="7">
        <v>641.38</v>
      </c>
      <c r="L289" s="38">
        <v>400900</v>
      </c>
      <c r="M289" s="39">
        <v>227.03125</v>
      </c>
      <c r="N289">
        <v>11</v>
      </c>
      <c r="O289" s="30">
        <f>Rådatakommune[[#This Row],[B17-O]]/Rådatakommune[[#This Row],[Totalareal2017-O]]</f>
        <v>5.5973058093485921</v>
      </c>
      <c r="P289" s="32">
        <f>Rådatakommune[[#This Row],[B17-O]]/Rådatakommune[[#This Row],[B07-O]]-1</f>
        <v>2.1337126600284417E-2</v>
      </c>
      <c r="Q289" s="32">
        <f>Rådatakommune[[#This Row],[Kvinner20-39-O]]/Rådatakommune[[#This Row],[B17-O]]</f>
        <v>9.6657381615598892E-2</v>
      </c>
      <c r="R289" s="32">
        <f>Rådatakommune[[#This Row],[Eldre67+-O]]/Rådatakommune[[#This Row],[B17-O]]</f>
        <v>0.20584958217270194</v>
      </c>
      <c r="S289" s="32">
        <f>Rådatakommune[[#This Row],[S16-O]]/Rådatakommune[[#This Row],[S06-O]]-1</f>
        <v>2.0274689339437435E-2</v>
      </c>
      <c r="T289" s="32">
        <f>Rådatakommune[[#This Row],[Y16-O]]/Rådatakommune[[#This Row],[Folk20-64-O]]</f>
        <v>0.87961065573770492</v>
      </c>
    </row>
    <row r="290" spans="1:20" x14ac:dyDescent="0.25">
      <c r="A290" s="2" t="s">
        <v>877</v>
      </c>
      <c r="B290" s="2">
        <v>289</v>
      </c>
      <c r="C290" s="35">
        <v>161730</v>
      </c>
      <c r="D290" s="34">
        <v>190464</v>
      </c>
      <c r="E290" s="31">
        <v>97944</v>
      </c>
      <c r="F290" s="36">
        <v>23326</v>
      </c>
      <c r="G290" s="37">
        <v>29626</v>
      </c>
      <c r="H290">
        <v>120286</v>
      </c>
      <c r="I290" s="31">
        <v>100742</v>
      </c>
      <c r="J290" s="31">
        <v>114010</v>
      </c>
      <c r="K290" s="7">
        <v>342.21</v>
      </c>
      <c r="L290" s="38">
        <v>439900</v>
      </c>
      <c r="M290" s="39">
        <v>179.15625</v>
      </c>
      <c r="N290">
        <v>2</v>
      </c>
      <c r="O290" s="30">
        <f>Rådatakommune[[#This Row],[B17-O]]/Rådatakommune[[#This Row],[Totalareal2017-O]]</f>
        <v>556.57052686946611</v>
      </c>
      <c r="P290" s="32">
        <f>Rådatakommune[[#This Row],[B17-O]]/Rådatakommune[[#This Row],[B07-O]]-1</f>
        <v>0.17766648117232431</v>
      </c>
      <c r="Q290" s="32">
        <f>Rådatakommune[[#This Row],[Kvinner20-39-O]]/Rådatakommune[[#This Row],[B17-O]]</f>
        <v>0.15554645497311828</v>
      </c>
      <c r="R290" s="32">
        <f>Rådatakommune[[#This Row],[Eldre67+-O]]/Rådatakommune[[#This Row],[B17-O]]</f>
        <v>0.12246933803763441</v>
      </c>
      <c r="S290" s="32">
        <f>Rådatakommune[[#This Row],[S16-O]]/Rådatakommune[[#This Row],[S06-O]]-1</f>
        <v>0.13170276548013748</v>
      </c>
      <c r="T290" s="32">
        <f>Rådatakommune[[#This Row],[Y16-O]]/Rådatakommune[[#This Row],[Folk20-64-O]]</f>
        <v>0.81425934855261628</v>
      </c>
    </row>
    <row r="291" spans="1:20" x14ac:dyDescent="0.25">
      <c r="A291" s="2" t="s">
        <v>878</v>
      </c>
      <c r="B291" s="2">
        <v>290</v>
      </c>
      <c r="C291" s="35">
        <v>20624</v>
      </c>
      <c r="D291" s="34">
        <v>21972</v>
      </c>
      <c r="E291" s="31">
        <v>10425</v>
      </c>
      <c r="F291" s="36">
        <v>3919</v>
      </c>
      <c r="G291" s="37">
        <v>2473</v>
      </c>
      <c r="H291">
        <v>12350</v>
      </c>
      <c r="I291" s="31">
        <v>9844</v>
      </c>
      <c r="J291" s="31">
        <v>10500</v>
      </c>
      <c r="K291" s="7">
        <v>1564.55</v>
      </c>
      <c r="L291" s="38">
        <v>383100</v>
      </c>
      <c r="M291" s="39">
        <v>227.6875</v>
      </c>
      <c r="N291">
        <v>6</v>
      </c>
      <c r="O291" s="30">
        <f>Rådatakommune[[#This Row],[B17-O]]/Rådatakommune[[#This Row],[Totalareal2017-O]]</f>
        <v>14.043654725000799</v>
      </c>
      <c r="P291" s="32">
        <f>Rådatakommune[[#This Row],[B17-O]]/Rådatakommune[[#This Row],[B07-O]]-1</f>
        <v>6.5360744763382383E-2</v>
      </c>
      <c r="Q291" s="32">
        <f>Rådatakommune[[#This Row],[Kvinner20-39-O]]/Rådatakommune[[#This Row],[B17-O]]</f>
        <v>0.11255233934097943</v>
      </c>
      <c r="R291" s="32">
        <f>Rådatakommune[[#This Row],[Eldre67+-O]]/Rådatakommune[[#This Row],[B17-O]]</f>
        <v>0.17836337156380849</v>
      </c>
      <c r="S291" s="32">
        <f>Rådatakommune[[#This Row],[S16-O]]/Rådatakommune[[#This Row],[S06-O]]-1</f>
        <v>6.6639577407557882E-2</v>
      </c>
      <c r="T291" s="32">
        <f>Rådatakommune[[#This Row],[Y16-O]]/Rådatakommune[[#This Row],[Folk20-64-O]]</f>
        <v>0.84412955465587047</v>
      </c>
    </row>
    <row r="292" spans="1:20" x14ac:dyDescent="0.25">
      <c r="A292" s="2" t="s">
        <v>879</v>
      </c>
      <c r="B292" s="2">
        <v>291</v>
      </c>
      <c r="C292" s="35">
        <v>12573</v>
      </c>
      <c r="D292" s="34">
        <v>13051</v>
      </c>
      <c r="E292" s="31">
        <v>6418</v>
      </c>
      <c r="F292" s="36">
        <v>2052</v>
      </c>
      <c r="G292" s="37">
        <v>1544</v>
      </c>
      <c r="H292">
        <v>7305</v>
      </c>
      <c r="I292" s="31">
        <v>6674</v>
      </c>
      <c r="J292" s="31">
        <v>6914</v>
      </c>
      <c r="K292" s="7">
        <v>778.61</v>
      </c>
      <c r="L292" s="38">
        <v>392800</v>
      </c>
      <c r="M292" s="39">
        <v>214.6875</v>
      </c>
      <c r="N292">
        <v>6</v>
      </c>
      <c r="O292" s="30">
        <f>Rådatakommune[[#This Row],[B17-O]]/Rådatakommune[[#This Row],[Totalareal2017-O]]</f>
        <v>16.761921886438653</v>
      </c>
      <c r="P292" s="32">
        <f>Rådatakommune[[#This Row],[B17-O]]/Rådatakommune[[#This Row],[B07-O]]-1</f>
        <v>3.8017975025849138E-2</v>
      </c>
      <c r="Q292" s="32">
        <f>Rådatakommune[[#This Row],[Kvinner20-39-O]]/Rådatakommune[[#This Row],[B17-O]]</f>
        <v>0.1183051107194851</v>
      </c>
      <c r="R292" s="32">
        <f>Rådatakommune[[#This Row],[Eldre67+-O]]/Rådatakommune[[#This Row],[B17-O]]</f>
        <v>0.15722933108574055</v>
      </c>
      <c r="S292" s="32">
        <f>Rådatakommune[[#This Row],[S16-O]]/Rådatakommune[[#This Row],[S06-O]]-1</f>
        <v>3.5960443512136564E-2</v>
      </c>
      <c r="T292" s="32">
        <f>Rådatakommune[[#This Row],[Y16-O]]/Rådatakommune[[#This Row],[Folk20-64-O]]</f>
        <v>0.87857631759069132</v>
      </c>
    </row>
    <row r="293" spans="1:20" x14ac:dyDescent="0.25">
      <c r="A293" s="2" t="s">
        <v>880</v>
      </c>
      <c r="B293" s="2">
        <v>292</v>
      </c>
      <c r="C293" s="35">
        <v>4247</v>
      </c>
      <c r="D293" s="34">
        <v>4259</v>
      </c>
      <c r="E293" s="31">
        <v>2031</v>
      </c>
      <c r="F293" s="36">
        <v>798</v>
      </c>
      <c r="G293" s="37">
        <v>479</v>
      </c>
      <c r="H293">
        <v>2316</v>
      </c>
      <c r="I293" s="31">
        <v>1722</v>
      </c>
      <c r="J293" s="31">
        <v>1948</v>
      </c>
      <c r="K293" s="7">
        <v>669.9</v>
      </c>
      <c r="L293" s="38">
        <v>376300</v>
      </c>
      <c r="M293" s="39">
        <v>251.71875</v>
      </c>
      <c r="N293">
        <v>9</v>
      </c>
      <c r="O293" s="30">
        <f>Rådatakommune[[#This Row],[B17-O]]/Rådatakommune[[#This Row],[Totalareal2017-O]]</f>
        <v>6.3576653231825651</v>
      </c>
      <c r="P293" s="32">
        <f>Rådatakommune[[#This Row],[B17-O]]/Rådatakommune[[#This Row],[B07-O]]-1</f>
        <v>2.8255238992229703E-3</v>
      </c>
      <c r="Q293" s="32">
        <f>Rådatakommune[[#This Row],[Kvinner20-39-O]]/Rådatakommune[[#This Row],[B17-O]]</f>
        <v>0.11246771542615637</v>
      </c>
      <c r="R293" s="32">
        <f>Rådatakommune[[#This Row],[Eldre67+-O]]/Rådatakommune[[#This Row],[B17-O]]</f>
        <v>0.187367926743367</v>
      </c>
      <c r="S293" s="32">
        <f>Rådatakommune[[#This Row],[S16-O]]/Rådatakommune[[#This Row],[S06-O]]-1</f>
        <v>0.13124274099883859</v>
      </c>
      <c r="T293" s="32">
        <f>Rådatakommune[[#This Row],[Y16-O]]/Rådatakommune[[#This Row],[Folk20-64-O]]</f>
        <v>0.87694300518134716</v>
      </c>
    </row>
    <row r="294" spans="1:20" x14ac:dyDescent="0.25">
      <c r="A294" s="2" t="s">
        <v>881</v>
      </c>
      <c r="B294" s="2">
        <v>293</v>
      </c>
      <c r="C294" s="35">
        <v>1021</v>
      </c>
      <c r="D294" s="34">
        <v>982</v>
      </c>
      <c r="E294" s="31">
        <v>495</v>
      </c>
      <c r="F294" s="36">
        <v>205</v>
      </c>
      <c r="G294" s="37">
        <v>82</v>
      </c>
      <c r="H294">
        <v>543</v>
      </c>
      <c r="I294" s="31">
        <v>369</v>
      </c>
      <c r="J294" s="31">
        <v>357</v>
      </c>
      <c r="K294" s="7">
        <v>508.12</v>
      </c>
      <c r="L294" s="38">
        <v>380800</v>
      </c>
      <c r="M294" s="39">
        <v>234.625</v>
      </c>
      <c r="N294">
        <v>5</v>
      </c>
      <c r="O294" s="30">
        <f>Rådatakommune[[#This Row],[B17-O]]/Rådatakommune[[#This Row],[Totalareal2017-O]]</f>
        <v>1.9326143430685665</v>
      </c>
      <c r="P294" s="32">
        <f>Rådatakommune[[#This Row],[B17-O]]/Rådatakommune[[#This Row],[B07-O]]-1</f>
        <v>-3.8197845249755114E-2</v>
      </c>
      <c r="Q294" s="32">
        <f>Rådatakommune[[#This Row],[Kvinner20-39-O]]/Rådatakommune[[#This Row],[B17-O]]</f>
        <v>8.3503054989816694E-2</v>
      </c>
      <c r="R294" s="32">
        <f>Rådatakommune[[#This Row],[Eldre67+-O]]/Rådatakommune[[#This Row],[B17-O]]</f>
        <v>0.20875763747454176</v>
      </c>
      <c r="S294" s="32">
        <f>Rådatakommune[[#This Row],[S16-O]]/Rådatakommune[[#This Row],[S06-O]]-1</f>
        <v>-3.2520325203251987E-2</v>
      </c>
      <c r="T294" s="32">
        <f>Rådatakommune[[#This Row],[Y16-O]]/Rådatakommune[[#This Row],[Folk20-64-O]]</f>
        <v>0.91160220994475138</v>
      </c>
    </row>
    <row r="295" spans="1:20" x14ac:dyDescent="0.25">
      <c r="A295" s="2" t="s">
        <v>882</v>
      </c>
      <c r="B295" s="2">
        <v>294</v>
      </c>
      <c r="C295" s="35">
        <v>4028</v>
      </c>
      <c r="D295" s="34">
        <v>4659</v>
      </c>
      <c r="E295" s="31">
        <v>2301</v>
      </c>
      <c r="F295" s="36">
        <v>841</v>
      </c>
      <c r="G295" s="37">
        <v>565</v>
      </c>
      <c r="H295">
        <v>2692</v>
      </c>
      <c r="I295" s="31">
        <v>1971</v>
      </c>
      <c r="J295" s="31">
        <v>2452</v>
      </c>
      <c r="K295" s="7">
        <v>680.39</v>
      </c>
      <c r="L295" s="38">
        <v>391100</v>
      </c>
      <c r="M295" s="39">
        <v>279.3125</v>
      </c>
      <c r="N295">
        <v>10</v>
      </c>
      <c r="O295" s="30">
        <f>Rådatakommune[[#This Row],[B17-O]]/Rådatakommune[[#This Row],[Totalareal2017-O]]</f>
        <v>6.8475433207425151</v>
      </c>
      <c r="P295" s="32">
        <f>Rådatakommune[[#This Row],[B17-O]]/Rådatakommune[[#This Row],[B07-O]]-1</f>
        <v>0.15665342601787491</v>
      </c>
      <c r="Q295" s="32">
        <f>Rådatakommune[[#This Row],[Kvinner20-39-O]]/Rådatakommune[[#This Row],[B17-O]]</f>
        <v>0.12127065893968662</v>
      </c>
      <c r="R295" s="32">
        <f>Rådatakommune[[#This Row],[Eldre67+-O]]/Rådatakommune[[#This Row],[B17-O]]</f>
        <v>0.18051083923588754</v>
      </c>
      <c r="S295" s="32">
        <f>Rådatakommune[[#This Row],[S16-O]]/Rådatakommune[[#This Row],[S06-O]]-1</f>
        <v>0.24403855910705219</v>
      </c>
      <c r="T295" s="32">
        <f>Rådatakommune[[#This Row],[Y16-O]]/Rådatakommune[[#This Row],[Folk20-64-O]]</f>
        <v>0.85475482912332834</v>
      </c>
    </row>
    <row r="296" spans="1:20" x14ac:dyDescent="0.25">
      <c r="A296" s="2" t="s">
        <v>883</v>
      </c>
      <c r="B296" s="2">
        <v>295</v>
      </c>
      <c r="C296" s="35">
        <v>4052</v>
      </c>
      <c r="D296" s="34">
        <v>4937</v>
      </c>
      <c r="E296" s="31">
        <v>2544</v>
      </c>
      <c r="F296" s="36">
        <v>742</v>
      </c>
      <c r="G296" s="37">
        <v>667</v>
      </c>
      <c r="H296">
        <v>2988</v>
      </c>
      <c r="I296" s="31">
        <v>1944</v>
      </c>
      <c r="J296" s="31">
        <v>2645</v>
      </c>
      <c r="K296" s="7">
        <v>241.21</v>
      </c>
      <c r="L296" s="38">
        <v>482000</v>
      </c>
      <c r="M296" s="39">
        <v>299.125</v>
      </c>
      <c r="N296">
        <v>10</v>
      </c>
      <c r="O296" s="30">
        <f>Rådatakommune[[#This Row],[B17-O]]/Rådatakommune[[#This Row],[Totalareal2017-O]]</f>
        <v>20.467642303387091</v>
      </c>
      <c r="P296" s="32">
        <f>Rådatakommune[[#This Row],[B17-O]]/Rådatakommune[[#This Row],[B07-O]]-1</f>
        <v>0.2184106614017769</v>
      </c>
      <c r="Q296" s="32">
        <f>Rådatakommune[[#This Row],[Kvinner20-39-O]]/Rådatakommune[[#This Row],[B17-O]]</f>
        <v>0.13510228883937614</v>
      </c>
      <c r="R296" s="32">
        <f>Rådatakommune[[#This Row],[Eldre67+-O]]/Rådatakommune[[#This Row],[B17-O]]</f>
        <v>0.1502937006279117</v>
      </c>
      <c r="S296" s="32">
        <f>Rådatakommune[[#This Row],[S16-O]]/Rådatakommune[[#This Row],[S06-O]]-1</f>
        <v>0.36059670781893005</v>
      </c>
      <c r="T296" s="32">
        <f>Rådatakommune[[#This Row],[Y16-O]]/Rådatakommune[[#This Row],[Folk20-64-O]]</f>
        <v>0.85140562248995988</v>
      </c>
    </row>
    <row r="297" spans="1:20" x14ac:dyDescent="0.25">
      <c r="A297" s="2" t="s">
        <v>884</v>
      </c>
      <c r="B297" s="2">
        <v>296</v>
      </c>
      <c r="C297" s="35">
        <v>5091</v>
      </c>
      <c r="D297" s="34">
        <v>5291</v>
      </c>
      <c r="E297" s="31">
        <v>2593</v>
      </c>
      <c r="F297" s="36">
        <v>892</v>
      </c>
      <c r="G297" s="37">
        <v>626</v>
      </c>
      <c r="H297">
        <v>3095</v>
      </c>
      <c r="I297" s="31">
        <v>2407</v>
      </c>
      <c r="J297" s="31">
        <v>2645</v>
      </c>
      <c r="K297" s="7">
        <v>73.180000000000007</v>
      </c>
      <c r="L297" s="38">
        <v>392200</v>
      </c>
      <c r="M297" s="39">
        <v>281.375</v>
      </c>
      <c r="N297">
        <v>10</v>
      </c>
      <c r="O297" s="30">
        <f>Rådatakommune[[#This Row],[B17-O]]/Rådatakommune[[#This Row],[Totalareal2017-O]]</f>
        <v>72.30117518447662</v>
      </c>
      <c r="P297" s="32">
        <f>Rådatakommune[[#This Row],[B17-O]]/Rådatakommune[[#This Row],[B07-O]]-1</f>
        <v>3.928501276762919E-2</v>
      </c>
      <c r="Q297" s="32">
        <f>Rådatakommune[[#This Row],[Kvinner20-39-O]]/Rådatakommune[[#This Row],[B17-O]]</f>
        <v>0.11831411831411831</v>
      </c>
      <c r="R297" s="32">
        <f>Rådatakommune[[#This Row],[Eldre67+-O]]/Rådatakommune[[#This Row],[B17-O]]</f>
        <v>0.16858816858816858</v>
      </c>
      <c r="S297" s="32">
        <f>Rådatakommune[[#This Row],[S16-O]]/Rådatakommune[[#This Row],[S06-O]]-1</f>
        <v>9.8878271707519838E-2</v>
      </c>
      <c r="T297" s="32">
        <f>Rådatakommune[[#This Row],[Y16-O]]/Rådatakommune[[#This Row],[Folk20-64-O]]</f>
        <v>0.83780290791599354</v>
      </c>
    </row>
    <row r="298" spans="1:20" x14ac:dyDescent="0.25">
      <c r="A298" s="2" t="s">
        <v>885</v>
      </c>
      <c r="B298" s="2">
        <v>297</v>
      </c>
      <c r="C298" s="35">
        <v>1775</v>
      </c>
      <c r="D298" s="34">
        <v>1711</v>
      </c>
      <c r="E298" s="31">
        <v>832</v>
      </c>
      <c r="F298" s="36">
        <v>392</v>
      </c>
      <c r="G298" s="37">
        <v>149</v>
      </c>
      <c r="H298">
        <v>923</v>
      </c>
      <c r="I298" s="31">
        <v>752</v>
      </c>
      <c r="J298" s="31">
        <v>608</v>
      </c>
      <c r="K298" s="7">
        <v>317.28999999999996</v>
      </c>
      <c r="L298" s="38">
        <v>358500</v>
      </c>
      <c r="M298" s="39">
        <v>235.53125</v>
      </c>
      <c r="N298">
        <v>5</v>
      </c>
      <c r="O298" s="30">
        <f>Rådatakommune[[#This Row],[B17-O]]/Rådatakommune[[#This Row],[Totalareal2017-O]]</f>
        <v>5.3925430993728138</v>
      </c>
      <c r="P298" s="32">
        <f>Rådatakommune[[#This Row],[B17-O]]/Rådatakommune[[#This Row],[B07-O]]-1</f>
        <v>-3.6056338028168988E-2</v>
      </c>
      <c r="Q298" s="32">
        <f>Rådatakommune[[#This Row],[Kvinner20-39-O]]/Rådatakommune[[#This Row],[B17-O]]</f>
        <v>8.7083576855639971E-2</v>
      </c>
      <c r="R298" s="32">
        <f>Rådatakommune[[#This Row],[Eldre67+-O]]/Rådatakommune[[#This Row],[B17-O]]</f>
        <v>0.22910578609000584</v>
      </c>
      <c r="S298" s="32">
        <f>Rådatakommune[[#This Row],[S16-O]]/Rådatakommune[[#This Row],[S06-O]]-1</f>
        <v>-0.19148936170212771</v>
      </c>
      <c r="T298" s="32">
        <f>Rådatakommune[[#This Row],[Y16-O]]/Rådatakommune[[#This Row],[Folk20-64-O]]</f>
        <v>0.90140845070422537</v>
      </c>
    </row>
    <row r="299" spans="1:20" x14ac:dyDescent="0.25">
      <c r="A299" s="2" t="s">
        <v>886</v>
      </c>
      <c r="B299" s="2">
        <v>298</v>
      </c>
      <c r="C299" s="35">
        <v>4561</v>
      </c>
      <c r="D299" s="34">
        <v>4822</v>
      </c>
      <c r="E299" s="31">
        <v>2179</v>
      </c>
      <c r="F299" s="36">
        <v>883</v>
      </c>
      <c r="G299" s="37">
        <v>526</v>
      </c>
      <c r="H299">
        <v>2617</v>
      </c>
      <c r="I299" s="31">
        <v>1699</v>
      </c>
      <c r="J299" s="31">
        <v>1799</v>
      </c>
      <c r="K299" s="7">
        <v>383.79999999999995</v>
      </c>
      <c r="L299" s="38">
        <v>376600</v>
      </c>
      <c r="M299" s="39">
        <v>277.375</v>
      </c>
      <c r="N299">
        <v>10</v>
      </c>
      <c r="O299" s="30">
        <f>Rådatakommune[[#This Row],[B17-O]]/Rådatakommune[[#This Row],[Totalareal2017-O]]</f>
        <v>12.563835330901513</v>
      </c>
      <c r="P299" s="32">
        <f>Rådatakommune[[#This Row],[B17-O]]/Rådatakommune[[#This Row],[B07-O]]-1</f>
        <v>5.7224292918219621E-2</v>
      </c>
      <c r="Q299" s="32">
        <f>Rådatakommune[[#This Row],[Kvinner20-39-O]]/Rådatakommune[[#This Row],[B17-O]]</f>
        <v>0.10908336789713811</v>
      </c>
      <c r="R299" s="32">
        <f>Rådatakommune[[#This Row],[Eldre67+-O]]/Rådatakommune[[#This Row],[B17-O]]</f>
        <v>0.18311903774367483</v>
      </c>
      <c r="S299" s="32">
        <f>Rådatakommune[[#This Row],[S16-O]]/Rådatakommune[[#This Row],[S06-O]]-1</f>
        <v>5.885815185403187E-2</v>
      </c>
      <c r="T299" s="32">
        <f>Rådatakommune[[#This Row],[Y16-O]]/Rådatakommune[[#This Row],[Folk20-64-O]]</f>
        <v>0.8326327856324035</v>
      </c>
    </row>
    <row r="300" spans="1:20" x14ac:dyDescent="0.25">
      <c r="A300" s="2" t="s">
        <v>887</v>
      </c>
      <c r="B300" s="2">
        <v>299</v>
      </c>
      <c r="C300" s="35">
        <v>3258</v>
      </c>
      <c r="D300" s="34">
        <v>3263</v>
      </c>
      <c r="E300" s="31">
        <v>1640</v>
      </c>
      <c r="F300" s="36">
        <v>695</v>
      </c>
      <c r="G300" s="37">
        <v>297</v>
      </c>
      <c r="H300">
        <v>1790</v>
      </c>
      <c r="I300" s="31">
        <v>1521</v>
      </c>
      <c r="J300" s="31">
        <v>1660</v>
      </c>
      <c r="K300" s="7">
        <v>954.66</v>
      </c>
      <c r="L300" s="38">
        <v>379100</v>
      </c>
      <c r="M300" s="39">
        <v>274.5</v>
      </c>
      <c r="N300">
        <v>11</v>
      </c>
      <c r="O300" s="30">
        <f>Rådatakommune[[#This Row],[B17-O]]/Rådatakommune[[#This Row],[Totalareal2017-O]]</f>
        <v>3.4179707958854464</v>
      </c>
      <c r="P300" s="32">
        <f>Rådatakommune[[#This Row],[B17-O]]/Rådatakommune[[#This Row],[B07-O]]-1</f>
        <v>1.5346838551257846E-3</v>
      </c>
      <c r="Q300" s="32">
        <f>Rådatakommune[[#This Row],[Kvinner20-39-O]]/Rådatakommune[[#This Row],[B17-O]]</f>
        <v>9.1020533251608943E-2</v>
      </c>
      <c r="R300" s="32">
        <f>Rådatakommune[[#This Row],[Eldre67+-O]]/Rådatakommune[[#This Row],[B17-O]]</f>
        <v>0.21299417713760344</v>
      </c>
      <c r="S300" s="32">
        <f>Rådatakommune[[#This Row],[S16-O]]/Rådatakommune[[#This Row],[S06-O]]-1</f>
        <v>9.1387245233399028E-2</v>
      </c>
      <c r="T300" s="32">
        <f>Rådatakommune[[#This Row],[Y16-O]]/Rådatakommune[[#This Row],[Folk20-64-O]]</f>
        <v>0.91620111731843579</v>
      </c>
    </row>
    <row r="301" spans="1:20" x14ac:dyDescent="0.25">
      <c r="A301" s="2" t="s">
        <v>888</v>
      </c>
      <c r="B301" s="2">
        <v>300</v>
      </c>
      <c r="C301" s="35">
        <v>1030</v>
      </c>
      <c r="D301" s="34">
        <v>959</v>
      </c>
      <c r="E301" s="31">
        <v>483</v>
      </c>
      <c r="F301" s="36">
        <v>215</v>
      </c>
      <c r="G301" s="37">
        <v>95</v>
      </c>
      <c r="H301">
        <v>526</v>
      </c>
      <c r="I301" s="31">
        <v>421</v>
      </c>
      <c r="J301" s="31">
        <v>439</v>
      </c>
      <c r="K301" s="7">
        <v>374.64</v>
      </c>
      <c r="L301" s="38">
        <v>359700</v>
      </c>
      <c r="M301" s="39">
        <v>309.25</v>
      </c>
      <c r="N301">
        <v>11</v>
      </c>
      <c r="O301" s="30">
        <f>Rådatakommune[[#This Row],[B17-O]]/Rådatakommune[[#This Row],[Totalareal2017-O]]</f>
        <v>2.5597907324364724</v>
      </c>
      <c r="P301" s="32">
        <f>Rådatakommune[[#This Row],[B17-O]]/Rådatakommune[[#This Row],[B07-O]]-1</f>
        <v>-6.893203883495147E-2</v>
      </c>
      <c r="Q301" s="32">
        <f>Rådatakommune[[#This Row],[Kvinner20-39-O]]/Rådatakommune[[#This Row],[B17-O]]</f>
        <v>9.9061522419186657E-2</v>
      </c>
      <c r="R301" s="32">
        <f>Rådatakommune[[#This Row],[Eldre67+-O]]/Rådatakommune[[#This Row],[B17-O]]</f>
        <v>0.22419186652763295</v>
      </c>
      <c r="S301" s="32">
        <f>Rådatakommune[[#This Row],[S16-O]]/Rådatakommune[[#This Row],[S06-O]]-1</f>
        <v>4.2755344418052177E-2</v>
      </c>
      <c r="T301" s="32">
        <f>Rådatakommune[[#This Row],[Y16-O]]/Rådatakommune[[#This Row],[Folk20-64-O]]</f>
        <v>0.91825095057034223</v>
      </c>
    </row>
    <row r="302" spans="1:20" x14ac:dyDescent="0.25">
      <c r="A302" s="2" t="s">
        <v>889</v>
      </c>
      <c r="B302" s="2">
        <v>301</v>
      </c>
      <c r="C302" s="35">
        <v>1051</v>
      </c>
      <c r="D302" s="34">
        <v>978</v>
      </c>
      <c r="E302" s="31">
        <v>443</v>
      </c>
      <c r="F302" s="36">
        <v>249</v>
      </c>
      <c r="G302" s="37">
        <v>87</v>
      </c>
      <c r="H302">
        <v>499</v>
      </c>
      <c r="I302" s="31">
        <v>448</v>
      </c>
      <c r="J302" s="31">
        <v>375</v>
      </c>
      <c r="K302" s="7">
        <v>387.18</v>
      </c>
      <c r="L302" s="38">
        <v>367300</v>
      </c>
      <c r="M302" s="39">
        <v>273</v>
      </c>
      <c r="N302">
        <v>11</v>
      </c>
      <c r="O302" s="30">
        <f>Rådatakommune[[#This Row],[B17-O]]/Rådatakommune[[#This Row],[Totalareal2017-O]]</f>
        <v>2.5259569192623585</v>
      </c>
      <c r="P302" s="32">
        <f>Rådatakommune[[#This Row],[B17-O]]/Rådatakommune[[#This Row],[B07-O]]-1</f>
        <v>-6.9457659372026637E-2</v>
      </c>
      <c r="Q302" s="32">
        <f>Rådatakommune[[#This Row],[Kvinner20-39-O]]/Rådatakommune[[#This Row],[B17-O]]</f>
        <v>8.8957055214723926E-2</v>
      </c>
      <c r="R302" s="32">
        <f>Rådatakommune[[#This Row],[Eldre67+-O]]/Rådatakommune[[#This Row],[B17-O]]</f>
        <v>0.254601226993865</v>
      </c>
      <c r="S302" s="32">
        <f>Rådatakommune[[#This Row],[S16-O]]/Rådatakommune[[#This Row],[S06-O]]-1</f>
        <v>-0.1629464285714286</v>
      </c>
      <c r="T302" s="32">
        <f>Rådatakommune[[#This Row],[Y16-O]]/Rådatakommune[[#This Row],[Folk20-64-O]]</f>
        <v>0.88777555110220441</v>
      </c>
    </row>
    <row r="303" spans="1:20" x14ac:dyDescent="0.25">
      <c r="A303" s="2" t="s">
        <v>890</v>
      </c>
      <c r="B303" s="2">
        <v>302</v>
      </c>
      <c r="C303" s="35">
        <v>6531</v>
      </c>
      <c r="D303" s="34">
        <v>6973</v>
      </c>
      <c r="E303" s="31">
        <v>3389</v>
      </c>
      <c r="F303" s="36">
        <v>1281</v>
      </c>
      <c r="G303" s="37">
        <v>743</v>
      </c>
      <c r="H303">
        <v>3866</v>
      </c>
      <c r="I303" s="31">
        <v>3162</v>
      </c>
      <c r="J303" s="31">
        <v>3154</v>
      </c>
      <c r="K303" s="7">
        <v>2274.11</v>
      </c>
      <c r="L303" s="38">
        <v>380500</v>
      </c>
      <c r="M303" s="39">
        <v>273.4375</v>
      </c>
      <c r="N303">
        <v>9</v>
      </c>
      <c r="O303" s="30">
        <f>Rådatakommune[[#This Row],[B17-O]]/Rådatakommune[[#This Row],[Totalareal2017-O]]</f>
        <v>3.0662544907678169</v>
      </c>
      <c r="P303" s="32">
        <f>Rådatakommune[[#This Row],[B17-O]]/Rådatakommune[[#This Row],[B07-O]]-1</f>
        <v>6.7677231664369897E-2</v>
      </c>
      <c r="Q303" s="32">
        <f>Rådatakommune[[#This Row],[Kvinner20-39-O]]/Rådatakommune[[#This Row],[B17-O]]</f>
        <v>0.10655385056647067</v>
      </c>
      <c r="R303" s="32">
        <f>Rådatakommune[[#This Row],[Eldre67+-O]]/Rådatakommune[[#This Row],[B17-O]]</f>
        <v>0.18370859027678188</v>
      </c>
      <c r="S303" s="32">
        <f>Rådatakommune[[#This Row],[S16-O]]/Rådatakommune[[#This Row],[S06-O]]-1</f>
        <v>-2.5300442757748565E-3</v>
      </c>
      <c r="T303" s="32">
        <f>Rådatakommune[[#This Row],[Y16-O]]/Rådatakommune[[#This Row],[Folk20-64-O]]</f>
        <v>0.8766166580444904</v>
      </c>
    </row>
    <row r="304" spans="1:20" x14ac:dyDescent="0.25">
      <c r="A304" s="2" t="s">
        <v>891</v>
      </c>
      <c r="B304" s="2">
        <v>303</v>
      </c>
      <c r="C304" s="35">
        <v>2635</v>
      </c>
      <c r="D304" s="34">
        <v>2556</v>
      </c>
      <c r="E304" s="31">
        <v>1230</v>
      </c>
      <c r="F304" s="36">
        <v>564</v>
      </c>
      <c r="G304" s="37">
        <v>235</v>
      </c>
      <c r="H304">
        <v>1356</v>
      </c>
      <c r="I304" s="31">
        <v>1179</v>
      </c>
      <c r="J304" s="31">
        <v>1047</v>
      </c>
      <c r="K304" s="7">
        <v>947.97</v>
      </c>
      <c r="L304" s="38">
        <v>360100</v>
      </c>
      <c r="M304" s="39">
        <v>244</v>
      </c>
      <c r="N304">
        <v>5</v>
      </c>
      <c r="O304" s="30">
        <f>Rådatakommune[[#This Row],[B17-O]]/Rådatakommune[[#This Row],[Totalareal2017-O]]</f>
        <v>2.6962878572106712</v>
      </c>
      <c r="P304" s="32">
        <f>Rådatakommune[[#This Row],[B17-O]]/Rådatakommune[[#This Row],[B07-O]]-1</f>
        <v>-2.9981024667931733E-2</v>
      </c>
      <c r="Q304" s="32">
        <f>Rådatakommune[[#This Row],[Kvinner20-39-O]]/Rådatakommune[[#This Row],[B17-O]]</f>
        <v>9.1940532081377147E-2</v>
      </c>
      <c r="R304" s="32">
        <f>Rådatakommune[[#This Row],[Eldre67+-O]]/Rådatakommune[[#This Row],[B17-O]]</f>
        <v>0.22065727699530516</v>
      </c>
      <c r="S304" s="32">
        <f>Rådatakommune[[#This Row],[S16-O]]/Rådatakommune[[#This Row],[S06-O]]-1</f>
        <v>-0.11195928753180662</v>
      </c>
      <c r="T304" s="32">
        <f>Rådatakommune[[#This Row],[Y16-O]]/Rådatakommune[[#This Row],[Folk20-64-O]]</f>
        <v>0.90707964601769908</v>
      </c>
    </row>
    <row r="305" spans="1:20" x14ac:dyDescent="0.25">
      <c r="A305" s="2" t="s">
        <v>892</v>
      </c>
      <c r="B305" s="2">
        <v>304</v>
      </c>
      <c r="C305" s="35">
        <v>3900</v>
      </c>
      <c r="D305" s="34">
        <v>3960</v>
      </c>
      <c r="E305" s="31">
        <v>1864</v>
      </c>
      <c r="F305" s="36">
        <v>789</v>
      </c>
      <c r="G305" s="37">
        <v>413</v>
      </c>
      <c r="H305">
        <v>2171</v>
      </c>
      <c r="I305" s="31">
        <v>1507</v>
      </c>
      <c r="J305" s="31">
        <v>1455</v>
      </c>
      <c r="K305" s="7">
        <v>613.34</v>
      </c>
      <c r="L305" s="38">
        <v>388100</v>
      </c>
      <c r="M305" s="39">
        <v>238.3125</v>
      </c>
      <c r="N305">
        <v>5</v>
      </c>
      <c r="O305" s="30">
        <f>Rådatakommune[[#This Row],[B17-O]]/Rådatakommune[[#This Row],[Totalareal2017-O]]</f>
        <v>6.4564515603091266</v>
      </c>
      <c r="P305" s="32">
        <f>Rådatakommune[[#This Row],[B17-O]]/Rådatakommune[[#This Row],[B07-O]]-1</f>
        <v>1.538461538461533E-2</v>
      </c>
      <c r="Q305" s="32">
        <f>Rådatakommune[[#This Row],[Kvinner20-39-O]]/Rådatakommune[[#This Row],[B17-O]]</f>
        <v>0.1042929292929293</v>
      </c>
      <c r="R305" s="32">
        <f>Rådatakommune[[#This Row],[Eldre67+-O]]/Rådatakommune[[#This Row],[B17-O]]</f>
        <v>0.19924242424242425</v>
      </c>
      <c r="S305" s="32">
        <f>Rådatakommune[[#This Row],[S16-O]]/Rådatakommune[[#This Row],[S06-O]]-1</f>
        <v>-3.4505640345056432E-2</v>
      </c>
      <c r="T305" s="32">
        <f>Rådatakommune[[#This Row],[Y16-O]]/Rådatakommune[[#This Row],[Folk20-64-O]]</f>
        <v>0.85859051128512209</v>
      </c>
    </row>
    <row r="306" spans="1:20" x14ac:dyDescent="0.25">
      <c r="A306" s="2" t="s">
        <v>893</v>
      </c>
      <c r="B306" s="2">
        <v>305</v>
      </c>
      <c r="C306" s="35">
        <v>10812</v>
      </c>
      <c r="D306" s="34">
        <v>11891</v>
      </c>
      <c r="E306" s="31">
        <v>5772</v>
      </c>
      <c r="F306" s="36">
        <v>1884</v>
      </c>
      <c r="G306" s="37">
        <v>1375</v>
      </c>
      <c r="H306">
        <v>6742</v>
      </c>
      <c r="I306" s="31">
        <v>5647</v>
      </c>
      <c r="J306" s="31">
        <v>5882</v>
      </c>
      <c r="K306" s="7">
        <v>594.31999999999994</v>
      </c>
      <c r="L306" s="38">
        <v>402300</v>
      </c>
      <c r="M306" s="39">
        <v>207.5625</v>
      </c>
      <c r="N306">
        <v>5</v>
      </c>
      <c r="O306" s="30">
        <f>Rådatakommune[[#This Row],[B17-O]]/Rådatakommune[[#This Row],[Totalareal2017-O]]</f>
        <v>20.007739938080498</v>
      </c>
      <c r="P306" s="32">
        <f>Rådatakommune[[#This Row],[B17-O]]/Rådatakommune[[#This Row],[B07-O]]-1</f>
        <v>9.9796522382537889E-2</v>
      </c>
      <c r="Q306" s="32">
        <f>Rådatakommune[[#This Row],[Kvinner20-39-O]]/Rådatakommune[[#This Row],[B17-O]]</f>
        <v>0.11563367252543941</v>
      </c>
      <c r="R306" s="32">
        <f>Rådatakommune[[#This Row],[Eldre67+-O]]/Rådatakommune[[#This Row],[B17-O]]</f>
        <v>0.15843915566394753</v>
      </c>
      <c r="S306" s="32">
        <f>Rådatakommune[[#This Row],[S16-O]]/Rådatakommune[[#This Row],[S06-O]]-1</f>
        <v>4.1615016823091988E-2</v>
      </c>
      <c r="T306" s="32">
        <f>Rådatakommune[[#This Row],[Y16-O]]/Rådatakommune[[#This Row],[Folk20-64-O]]</f>
        <v>0.85612577870068229</v>
      </c>
    </row>
    <row r="307" spans="1:20" x14ac:dyDescent="0.25">
      <c r="A307" s="2" t="s">
        <v>894</v>
      </c>
      <c r="B307" s="2">
        <v>306</v>
      </c>
      <c r="C307" s="35">
        <v>5671</v>
      </c>
      <c r="D307" s="34">
        <v>5623</v>
      </c>
      <c r="E307" s="31">
        <v>2902</v>
      </c>
      <c r="F307" s="36">
        <v>1151</v>
      </c>
      <c r="G307" s="37">
        <v>604</v>
      </c>
      <c r="H307">
        <v>3183</v>
      </c>
      <c r="I307" s="31">
        <v>3279</v>
      </c>
      <c r="J307" s="31">
        <v>3219</v>
      </c>
      <c r="K307" s="7">
        <v>1956.46</v>
      </c>
      <c r="L307" s="38">
        <v>383300</v>
      </c>
      <c r="M307" s="39">
        <v>159.375</v>
      </c>
      <c r="N307">
        <v>9</v>
      </c>
      <c r="O307" s="30">
        <f>Rådatakommune[[#This Row],[B17-O]]/Rådatakommune[[#This Row],[Totalareal2017-O]]</f>
        <v>2.8740684706050725</v>
      </c>
      <c r="P307" s="32">
        <f>Rådatakommune[[#This Row],[B17-O]]/Rådatakommune[[#This Row],[B07-O]]-1</f>
        <v>-8.4641156762476077E-3</v>
      </c>
      <c r="Q307" s="32">
        <f>Rådatakommune[[#This Row],[Kvinner20-39-O]]/Rådatakommune[[#This Row],[B17-O]]</f>
        <v>0.1074159701227103</v>
      </c>
      <c r="R307" s="32">
        <f>Rådatakommune[[#This Row],[Eldre67+-O]]/Rådatakommune[[#This Row],[B17-O]]</f>
        <v>0.20469500266761514</v>
      </c>
      <c r="S307" s="32">
        <f>Rådatakommune[[#This Row],[S16-O]]/Rådatakommune[[#This Row],[S06-O]]-1</f>
        <v>-1.8298261665141813E-2</v>
      </c>
      <c r="T307" s="32">
        <f>Rådatakommune[[#This Row],[Y16-O]]/Rådatakommune[[#This Row],[Folk20-64-O]]</f>
        <v>0.91171850455545078</v>
      </c>
    </row>
    <row r="308" spans="1:20" x14ac:dyDescent="0.25">
      <c r="A308" s="2" t="s">
        <v>895</v>
      </c>
      <c r="B308" s="2">
        <v>307</v>
      </c>
      <c r="C308" s="35">
        <v>2076</v>
      </c>
      <c r="D308" s="34">
        <v>2046</v>
      </c>
      <c r="E308" s="31">
        <v>1004</v>
      </c>
      <c r="F308" s="36">
        <v>451</v>
      </c>
      <c r="G308" s="37">
        <v>205</v>
      </c>
      <c r="H308">
        <v>1101</v>
      </c>
      <c r="I308" s="31">
        <v>725</v>
      </c>
      <c r="J308" s="31">
        <v>675</v>
      </c>
      <c r="K308" s="7">
        <v>1209.5</v>
      </c>
      <c r="L308" s="38">
        <v>360700</v>
      </c>
      <c r="M308" s="39">
        <v>184.09375</v>
      </c>
      <c r="N308">
        <v>9</v>
      </c>
      <c r="O308" s="30">
        <f>Rådatakommune[[#This Row],[B17-O]]/Rådatakommune[[#This Row],[Totalareal2017-O]]</f>
        <v>1.6916081025217031</v>
      </c>
      <c r="P308" s="32">
        <f>Rådatakommune[[#This Row],[B17-O]]/Rådatakommune[[#This Row],[B07-O]]-1</f>
        <v>-1.4450867052023142E-2</v>
      </c>
      <c r="Q308" s="32">
        <f>Rådatakommune[[#This Row],[Kvinner20-39-O]]/Rådatakommune[[#This Row],[B17-O]]</f>
        <v>0.10019550342130987</v>
      </c>
      <c r="R308" s="32">
        <f>Rådatakommune[[#This Row],[Eldre67+-O]]/Rådatakommune[[#This Row],[B17-O]]</f>
        <v>0.22043010752688172</v>
      </c>
      <c r="S308" s="32">
        <f>Rådatakommune[[#This Row],[S16-O]]/Rådatakommune[[#This Row],[S06-O]]-1</f>
        <v>-6.8965517241379337E-2</v>
      </c>
      <c r="T308" s="32">
        <f>Rådatakommune[[#This Row],[Y16-O]]/Rådatakommune[[#This Row],[Folk20-64-O]]</f>
        <v>0.91189827429609449</v>
      </c>
    </row>
    <row r="309" spans="1:20" x14ac:dyDescent="0.25">
      <c r="A309" s="2" t="s">
        <v>896</v>
      </c>
      <c r="B309" s="2">
        <v>308</v>
      </c>
      <c r="C309" s="35">
        <v>5889</v>
      </c>
      <c r="D309" s="34">
        <v>6319</v>
      </c>
      <c r="E309" s="31">
        <v>3323</v>
      </c>
      <c r="F309" s="36">
        <v>1075</v>
      </c>
      <c r="G309" s="37">
        <v>773</v>
      </c>
      <c r="H309">
        <v>3611</v>
      </c>
      <c r="I309" s="31">
        <v>2764</v>
      </c>
      <c r="J309" s="31">
        <v>3080</v>
      </c>
      <c r="K309" s="7">
        <v>1860.51</v>
      </c>
      <c r="L309" s="38">
        <v>385000</v>
      </c>
      <c r="M309" s="39">
        <v>217.5625</v>
      </c>
      <c r="N309">
        <v>2</v>
      </c>
      <c r="O309" s="30">
        <f>Rådatakommune[[#This Row],[B17-O]]/Rådatakommune[[#This Row],[Totalareal2017-O]]</f>
        <v>3.3963805623189343</v>
      </c>
      <c r="P309" s="32">
        <f>Rådatakommune[[#This Row],[B17-O]]/Rådatakommune[[#This Row],[B07-O]]-1</f>
        <v>7.3017490236033211E-2</v>
      </c>
      <c r="Q309" s="32">
        <f>Rådatakommune[[#This Row],[Kvinner20-39-O]]/Rådatakommune[[#This Row],[B17-O]]</f>
        <v>0.12232948251305586</v>
      </c>
      <c r="R309" s="32">
        <f>Rådatakommune[[#This Row],[Eldre67+-O]]/Rådatakommune[[#This Row],[B17-O]]</f>
        <v>0.17012185472384872</v>
      </c>
      <c r="S309" s="32">
        <f>Rådatakommune[[#This Row],[S16-O]]/Rådatakommune[[#This Row],[S06-O]]-1</f>
        <v>0.11432706222865407</v>
      </c>
      <c r="T309" s="32">
        <f>Rådatakommune[[#This Row],[Y16-O]]/Rådatakommune[[#This Row],[Folk20-64-O]]</f>
        <v>0.92024369980614784</v>
      </c>
    </row>
    <row r="310" spans="1:20" x14ac:dyDescent="0.25">
      <c r="A310" s="2" t="s">
        <v>897</v>
      </c>
      <c r="B310" s="2">
        <v>309</v>
      </c>
      <c r="C310" s="35">
        <v>14304</v>
      </c>
      <c r="D310" s="34">
        <v>16213</v>
      </c>
      <c r="E310" s="31">
        <v>8130</v>
      </c>
      <c r="F310" s="36">
        <v>2323</v>
      </c>
      <c r="G310" s="37">
        <v>1960</v>
      </c>
      <c r="H310">
        <v>9261</v>
      </c>
      <c r="I310" s="31">
        <v>4220</v>
      </c>
      <c r="J310" s="31">
        <v>4834</v>
      </c>
      <c r="K310" s="7">
        <v>694.4</v>
      </c>
      <c r="L310" s="38">
        <v>405200</v>
      </c>
      <c r="M310" s="39">
        <v>191.8125</v>
      </c>
      <c r="N310">
        <v>2</v>
      </c>
      <c r="O310" s="30">
        <f>Rådatakommune[[#This Row],[B17-O]]/Rådatakommune[[#This Row],[Totalareal2017-O]]</f>
        <v>23.348214285714288</v>
      </c>
      <c r="P310" s="32">
        <f>Rådatakommune[[#This Row],[B17-O]]/Rådatakommune[[#This Row],[B07-O]]-1</f>
        <v>0.13345917225950776</v>
      </c>
      <c r="Q310" s="32">
        <f>Rådatakommune[[#This Row],[Kvinner20-39-O]]/Rådatakommune[[#This Row],[B17-O]]</f>
        <v>0.12089064331092333</v>
      </c>
      <c r="R310" s="32">
        <f>Rådatakommune[[#This Row],[Eldre67+-O]]/Rådatakommune[[#This Row],[B17-O]]</f>
        <v>0.14328008388330352</v>
      </c>
      <c r="S310" s="32">
        <f>Rådatakommune[[#This Row],[S16-O]]/Rådatakommune[[#This Row],[S06-O]]-1</f>
        <v>0.14549763033175345</v>
      </c>
      <c r="T310" s="32">
        <f>Rådatakommune[[#This Row],[Y16-O]]/Rådatakommune[[#This Row],[Folk20-64-O]]</f>
        <v>0.87787495950761252</v>
      </c>
    </row>
    <row r="311" spans="1:20" x14ac:dyDescent="0.25">
      <c r="A311" s="2" t="s">
        <v>898</v>
      </c>
      <c r="B311" s="2">
        <v>310</v>
      </c>
      <c r="C311" s="35">
        <v>6211</v>
      </c>
      <c r="D311" s="34">
        <v>8000</v>
      </c>
      <c r="E311" s="31">
        <v>4050</v>
      </c>
      <c r="F311" s="36">
        <v>979</v>
      </c>
      <c r="G311" s="37">
        <v>1055</v>
      </c>
      <c r="H311">
        <v>4571</v>
      </c>
      <c r="I311" s="31">
        <v>1321</v>
      </c>
      <c r="J311" s="31">
        <v>1539</v>
      </c>
      <c r="K311" s="7">
        <v>224.21</v>
      </c>
      <c r="L311" s="38">
        <v>413100</v>
      </c>
      <c r="M311" s="39">
        <v>198.78125</v>
      </c>
      <c r="N311">
        <v>2</v>
      </c>
      <c r="O311" s="30">
        <f>Rådatakommune[[#This Row],[B17-O]]/Rådatakommune[[#This Row],[Totalareal2017-O]]</f>
        <v>35.680834931537397</v>
      </c>
      <c r="P311" s="32">
        <f>Rådatakommune[[#This Row],[B17-O]]/Rådatakommune[[#This Row],[B07-O]]-1</f>
        <v>0.28803735308323941</v>
      </c>
      <c r="Q311" s="32">
        <f>Rådatakommune[[#This Row],[Kvinner20-39-O]]/Rådatakommune[[#This Row],[B17-O]]</f>
        <v>0.13187499999999999</v>
      </c>
      <c r="R311" s="32">
        <f>Rådatakommune[[#This Row],[Eldre67+-O]]/Rådatakommune[[#This Row],[B17-O]]</f>
        <v>0.122375</v>
      </c>
      <c r="S311" s="32">
        <f>Rådatakommune[[#This Row],[S16-O]]/Rådatakommune[[#This Row],[S06-O]]-1</f>
        <v>0.1650264950794853</v>
      </c>
      <c r="T311" s="32">
        <f>Rådatakommune[[#This Row],[Y16-O]]/Rådatakommune[[#This Row],[Folk20-64-O]]</f>
        <v>0.8860205644279151</v>
      </c>
    </row>
    <row r="312" spans="1:20" x14ac:dyDescent="0.25">
      <c r="A312" s="2" t="s">
        <v>899</v>
      </c>
      <c r="B312" s="2">
        <v>311</v>
      </c>
      <c r="C312" s="35">
        <v>5474</v>
      </c>
      <c r="D312" s="34">
        <v>6050</v>
      </c>
      <c r="E312" s="31">
        <v>3062</v>
      </c>
      <c r="F312" s="36">
        <v>680</v>
      </c>
      <c r="G312" s="37">
        <v>765</v>
      </c>
      <c r="H312">
        <v>3487</v>
      </c>
      <c r="I312" s="31">
        <v>1236</v>
      </c>
      <c r="J312" s="31">
        <v>1232</v>
      </c>
      <c r="K312" s="7">
        <v>186.36</v>
      </c>
      <c r="L312" s="38">
        <v>420200</v>
      </c>
      <c r="M312" s="39">
        <v>187.6875</v>
      </c>
      <c r="N312">
        <v>2</v>
      </c>
      <c r="O312" s="30">
        <f>Rådatakommune[[#This Row],[B17-O]]/Rådatakommune[[#This Row],[Totalareal2017-O]]</f>
        <v>32.464048078986906</v>
      </c>
      <c r="P312" s="32">
        <f>Rådatakommune[[#This Row],[B17-O]]/Rådatakommune[[#This Row],[B07-O]]-1</f>
        <v>0.10522469857508221</v>
      </c>
      <c r="Q312" s="32">
        <f>Rådatakommune[[#This Row],[Kvinner20-39-O]]/Rådatakommune[[#This Row],[B17-O]]</f>
        <v>0.12644628099173555</v>
      </c>
      <c r="R312" s="32">
        <f>Rådatakommune[[#This Row],[Eldre67+-O]]/Rådatakommune[[#This Row],[B17-O]]</f>
        <v>0.11239669421487604</v>
      </c>
      <c r="S312" s="32">
        <f>Rådatakommune[[#This Row],[S16-O]]/Rådatakommune[[#This Row],[S06-O]]-1</f>
        <v>-3.2362459546925182E-3</v>
      </c>
      <c r="T312" s="32">
        <f>Rådatakommune[[#This Row],[Y16-O]]/Rådatakommune[[#This Row],[Folk20-64-O]]</f>
        <v>0.87811872669916835</v>
      </c>
    </row>
    <row r="313" spans="1:20" x14ac:dyDescent="0.25">
      <c r="A313" s="2" t="s">
        <v>900</v>
      </c>
      <c r="B313" s="2">
        <v>312</v>
      </c>
      <c r="C313" s="35">
        <v>12322</v>
      </c>
      <c r="D313" s="34">
        <v>13820</v>
      </c>
      <c r="E313" s="31">
        <v>6971</v>
      </c>
      <c r="F313" s="36">
        <v>1608</v>
      </c>
      <c r="G313" s="37">
        <v>1662</v>
      </c>
      <c r="H313">
        <v>8096</v>
      </c>
      <c r="I313" s="31">
        <v>2689</v>
      </c>
      <c r="J313" s="31">
        <v>3319</v>
      </c>
      <c r="K313" s="7">
        <v>168.44</v>
      </c>
      <c r="L313" s="38">
        <v>445900</v>
      </c>
      <c r="M313" s="39">
        <v>162.625</v>
      </c>
      <c r="N313">
        <v>2</v>
      </c>
      <c r="O313" s="30">
        <f>Rådatakommune[[#This Row],[B17-O]]/Rådatakommune[[#This Row],[Totalareal2017-O]]</f>
        <v>82.047019710282598</v>
      </c>
      <c r="P313" s="32">
        <f>Rådatakommune[[#This Row],[B17-O]]/Rådatakommune[[#This Row],[B07-O]]-1</f>
        <v>0.12157117351079361</v>
      </c>
      <c r="Q313" s="32">
        <f>Rådatakommune[[#This Row],[Kvinner20-39-O]]/Rådatakommune[[#This Row],[B17-O]]</f>
        <v>0.12026049204052099</v>
      </c>
      <c r="R313" s="32">
        <f>Rådatakommune[[#This Row],[Eldre67+-O]]/Rådatakommune[[#This Row],[B17-O]]</f>
        <v>0.11635311143270623</v>
      </c>
      <c r="S313" s="32">
        <f>Rådatakommune[[#This Row],[S16-O]]/Rådatakommune[[#This Row],[S06-O]]-1</f>
        <v>0.2342878393454817</v>
      </c>
      <c r="T313" s="32">
        <f>Rådatakommune[[#This Row],[Y16-O]]/Rådatakommune[[#This Row],[Folk20-64-O]]</f>
        <v>0.86104249011857703</v>
      </c>
    </row>
    <row r="314" spans="1:20" x14ac:dyDescent="0.25">
      <c r="A314" s="2" t="s">
        <v>901</v>
      </c>
      <c r="B314" s="2">
        <v>313</v>
      </c>
      <c r="C314" s="35">
        <v>3942</v>
      </c>
      <c r="D314" s="34">
        <v>4098</v>
      </c>
      <c r="E314" s="31">
        <v>2049</v>
      </c>
      <c r="F314" s="36">
        <v>801</v>
      </c>
      <c r="G314" s="37">
        <v>416</v>
      </c>
      <c r="H314">
        <v>2250</v>
      </c>
      <c r="I314" s="31">
        <v>1684</v>
      </c>
      <c r="J314" s="31">
        <v>1537</v>
      </c>
      <c r="K314" s="7">
        <v>1234.8400000000001</v>
      </c>
      <c r="L314" s="38">
        <v>385300</v>
      </c>
      <c r="M314" s="39">
        <v>186.40625</v>
      </c>
      <c r="N314">
        <v>2</v>
      </c>
      <c r="O314" s="30">
        <f>Rådatakommune[[#This Row],[B17-O]]/Rådatakommune[[#This Row],[Totalareal2017-O]]</f>
        <v>3.3186485698552035</v>
      </c>
      <c r="P314" s="32">
        <f>Rådatakommune[[#This Row],[B17-O]]/Rådatakommune[[#This Row],[B07-O]]-1</f>
        <v>3.9573820395738313E-2</v>
      </c>
      <c r="Q314" s="32">
        <f>Rådatakommune[[#This Row],[Kvinner20-39-O]]/Rådatakommune[[#This Row],[B17-O]]</f>
        <v>0.10151293313811616</v>
      </c>
      <c r="R314" s="32">
        <f>Rådatakommune[[#This Row],[Eldre67+-O]]/Rådatakommune[[#This Row],[B17-O]]</f>
        <v>0.19546120058565153</v>
      </c>
      <c r="S314" s="32">
        <f>Rådatakommune[[#This Row],[S16-O]]/Rådatakommune[[#This Row],[S06-O]]-1</f>
        <v>-8.7292161520190037E-2</v>
      </c>
      <c r="T314" s="32">
        <f>Rådatakommune[[#This Row],[Y16-O]]/Rådatakommune[[#This Row],[Folk20-64-O]]</f>
        <v>0.91066666666666662</v>
      </c>
    </row>
    <row r="315" spans="1:20" x14ac:dyDescent="0.25">
      <c r="A315" s="2" t="s">
        <v>902</v>
      </c>
      <c r="B315" s="2">
        <v>314</v>
      </c>
      <c r="C315" s="35">
        <v>859</v>
      </c>
      <c r="D315" s="34">
        <v>861</v>
      </c>
      <c r="E315" s="31">
        <v>454</v>
      </c>
      <c r="F315" s="36">
        <v>190</v>
      </c>
      <c r="G315" s="37">
        <v>91</v>
      </c>
      <c r="H315">
        <v>503</v>
      </c>
      <c r="I315" s="31">
        <v>383</v>
      </c>
      <c r="J315" s="31">
        <v>367</v>
      </c>
      <c r="K315" s="7">
        <v>1329.21</v>
      </c>
      <c r="L315" s="38">
        <v>383000</v>
      </c>
      <c r="M315" s="39">
        <v>208.375</v>
      </c>
      <c r="N315">
        <v>11</v>
      </c>
      <c r="O315" s="30">
        <f>Rådatakommune[[#This Row],[B17-O]]/Rådatakommune[[#This Row],[Totalareal2017-O]]</f>
        <v>0.6477531766989415</v>
      </c>
      <c r="P315" s="32">
        <f>Rådatakommune[[#This Row],[B17-O]]/Rådatakommune[[#This Row],[B07-O]]-1</f>
        <v>2.3282887077997749E-3</v>
      </c>
      <c r="Q315" s="32">
        <f>Rådatakommune[[#This Row],[Kvinner20-39-O]]/Rådatakommune[[#This Row],[B17-O]]</f>
        <v>0.10569105691056911</v>
      </c>
      <c r="R315" s="32">
        <f>Rådatakommune[[#This Row],[Eldre67+-O]]/Rådatakommune[[#This Row],[B17-O]]</f>
        <v>0.22067363530778164</v>
      </c>
      <c r="S315" s="32">
        <f>Rådatakommune[[#This Row],[S16-O]]/Rådatakommune[[#This Row],[S06-O]]-1</f>
        <v>-4.1775456919060039E-2</v>
      </c>
      <c r="T315" s="32">
        <f>Rådatakommune[[#This Row],[Y16-O]]/Rådatakommune[[#This Row],[Folk20-64-O]]</f>
        <v>0.90258449304174948</v>
      </c>
    </row>
    <row r="316" spans="1:20" x14ac:dyDescent="0.25">
      <c r="A316" s="2" t="s">
        <v>903</v>
      </c>
      <c r="B316" s="2">
        <v>315</v>
      </c>
      <c r="C316" s="35">
        <v>2507</v>
      </c>
      <c r="D316" s="34">
        <v>2508</v>
      </c>
      <c r="E316" s="31">
        <v>1128</v>
      </c>
      <c r="F316" s="36">
        <v>502</v>
      </c>
      <c r="G316" s="37">
        <v>268</v>
      </c>
      <c r="H316">
        <v>1383</v>
      </c>
      <c r="I316" s="31">
        <v>967</v>
      </c>
      <c r="J316" s="31">
        <v>976</v>
      </c>
      <c r="K316" s="7">
        <v>1273.42</v>
      </c>
      <c r="L316" s="38">
        <v>333100</v>
      </c>
      <c r="M316" s="39">
        <v>197.71875</v>
      </c>
      <c r="N316">
        <v>5</v>
      </c>
      <c r="O316" s="30">
        <f>Rådatakommune[[#This Row],[B17-O]]/Rådatakommune[[#This Row],[Totalareal2017-O]]</f>
        <v>1.9694994581520628</v>
      </c>
      <c r="P316" s="32">
        <f>Rådatakommune[[#This Row],[B17-O]]/Rådatakommune[[#This Row],[B07-O]]-1</f>
        <v>3.9888312724367658E-4</v>
      </c>
      <c r="Q316" s="32">
        <f>Rådatakommune[[#This Row],[Kvinner20-39-O]]/Rådatakommune[[#This Row],[B17-O]]</f>
        <v>0.10685805422647528</v>
      </c>
      <c r="R316" s="32">
        <f>Rådatakommune[[#This Row],[Eldre67+-O]]/Rådatakommune[[#This Row],[B17-O]]</f>
        <v>0.20015948963317384</v>
      </c>
      <c r="S316" s="32">
        <f>Rådatakommune[[#This Row],[S16-O]]/Rådatakommune[[#This Row],[S06-O]]-1</f>
        <v>9.3071354705274167E-3</v>
      </c>
      <c r="T316" s="32">
        <f>Rådatakommune[[#This Row],[Y16-O]]/Rådatakommune[[#This Row],[Folk20-64-O]]</f>
        <v>0.81561822125813443</v>
      </c>
    </row>
    <row r="317" spans="1:20" x14ac:dyDescent="0.25">
      <c r="A317" s="2" t="s">
        <v>904</v>
      </c>
      <c r="B317" s="2">
        <v>316</v>
      </c>
      <c r="C317" s="35">
        <v>20273</v>
      </c>
      <c r="D317" s="34">
        <v>23625</v>
      </c>
      <c r="E317" s="31">
        <v>11556</v>
      </c>
      <c r="F317" s="36">
        <v>3580</v>
      </c>
      <c r="G317" s="37">
        <v>2721</v>
      </c>
      <c r="H317">
        <v>13335</v>
      </c>
      <c r="I317" s="31">
        <v>9428</v>
      </c>
      <c r="J317" s="31">
        <v>10703</v>
      </c>
      <c r="K317" s="7">
        <v>938.28</v>
      </c>
      <c r="L317" s="38">
        <v>405400</v>
      </c>
      <c r="M317" s="39">
        <v>157.78125</v>
      </c>
      <c r="N317">
        <v>2</v>
      </c>
      <c r="O317" s="30">
        <f>Rådatakommune[[#This Row],[B17-O]]/Rådatakommune[[#This Row],[Totalareal2017-O]]</f>
        <v>25.17905102954342</v>
      </c>
      <c r="P317" s="32">
        <f>Rådatakommune[[#This Row],[B17-O]]/Rådatakommune[[#This Row],[B07-O]]-1</f>
        <v>0.16534306713362601</v>
      </c>
      <c r="Q317" s="32">
        <f>Rådatakommune[[#This Row],[Kvinner20-39-O]]/Rådatakommune[[#This Row],[B17-O]]</f>
        <v>0.11517460317460318</v>
      </c>
      <c r="R317" s="32">
        <f>Rådatakommune[[#This Row],[Eldre67+-O]]/Rådatakommune[[#This Row],[B17-O]]</f>
        <v>0.15153439153439152</v>
      </c>
      <c r="S317" s="32">
        <f>Rådatakommune[[#This Row],[S16-O]]/Rådatakommune[[#This Row],[S06-O]]-1</f>
        <v>0.135235468816292</v>
      </c>
      <c r="T317" s="32">
        <f>Rådatakommune[[#This Row],[Y16-O]]/Rådatakommune[[#This Row],[Folk20-64-O]]</f>
        <v>0.86659167604049492</v>
      </c>
    </row>
    <row r="318" spans="1:20" x14ac:dyDescent="0.25">
      <c r="A318" s="2" t="s">
        <v>905</v>
      </c>
      <c r="B318" s="2">
        <v>317</v>
      </c>
      <c r="C318" s="35">
        <v>2461</v>
      </c>
      <c r="D318" s="34">
        <v>2630</v>
      </c>
      <c r="E318" s="31">
        <v>1205</v>
      </c>
      <c r="F318" s="36">
        <v>503</v>
      </c>
      <c r="G318" s="37">
        <v>284</v>
      </c>
      <c r="H318">
        <v>1444</v>
      </c>
      <c r="I318" s="31">
        <v>891</v>
      </c>
      <c r="J318" s="31">
        <v>907</v>
      </c>
      <c r="K318" s="7">
        <v>76.320000000000007</v>
      </c>
      <c r="L318" s="38">
        <v>349200</v>
      </c>
      <c r="M318" s="39">
        <v>190.21875</v>
      </c>
      <c r="N318">
        <v>5</v>
      </c>
      <c r="O318" s="30">
        <f>Rådatakommune[[#This Row],[B17-O]]/Rådatakommune[[#This Row],[Totalareal2017-O]]</f>
        <v>34.46016771488469</v>
      </c>
      <c r="P318" s="32">
        <f>Rådatakommune[[#This Row],[B17-O]]/Rådatakommune[[#This Row],[B07-O]]-1</f>
        <v>6.8671271840715198E-2</v>
      </c>
      <c r="Q318" s="32">
        <f>Rådatakommune[[#This Row],[Kvinner20-39-O]]/Rådatakommune[[#This Row],[B17-O]]</f>
        <v>0.10798479087452471</v>
      </c>
      <c r="R318" s="32">
        <f>Rådatakommune[[#This Row],[Eldre67+-O]]/Rådatakommune[[#This Row],[B17-O]]</f>
        <v>0.19125475285171104</v>
      </c>
      <c r="S318" s="32">
        <f>Rådatakommune[[#This Row],[S16-O]]/Rådatakommune[[#This Row],[S06-O]]-1</f>
        <v>1.7957351290684542E-2</v>
      </c>
      <c r="T318" s="32">
        <f>Rådatakommune[[#This Row],[Y16-O]]/Rådatakommune[[#This Row],[Folk20-64-O]]</f>
        <v>0.83448753462603875</v>
      </c>
    </row>
    <row r="319" spans="1:20" x14ac:dyDescent="0.25">
      <c r="A319" s="2" t="s">
        <v>906</v>
      </c>
      <c r="B319" s="2">
        <v>318</v>
      </c>
      <c r="C319" s="35">
        <v>18173</v>
      </c>
      <c r="D319" s="34">
        <v>19892</v>
      </c>
      <c r="E319" s="31">
        <v>9867</v>
      </c>
      <c r="F319" s="36">
        <v>3043</v>
      </c>
      <c r="G319" s="37">
        <v>2536</v>
      </c>
      <c r="H319">
        <v>11459</v>
      </c>
      <c r="I319" s="31">
        <v>8766</v>
      </c>
      <c r="J319" s="31">
        <v>9609</v>
      </c>
      <c r="K319" s="7">
        <v>645.79999999999995</v>
      </c>
      <c r="L319" s="38">
        <v>398500</v>
      </c>
      <c r="M319" s="39">
        <v>195.375</v>
      </c>
      <c r="N319">
        <v>5</v>
      </c>
      <c r="O319" s="30">
        <f>Rådatakommune[[#This Row],[B17-O]]/Rådatakommune[[#This Row],[Totalareal2017-O]]</f>
        <v>30.802105915144011</v>
      </c>
      <c r="P319" s="32">
        <f>Rådatakommune[[#This Row],[B17-O]]/Rådatakommune[[#This Row],[B07-O]]-1</f>
        <v>9.4590876575138871E-2</v>
      </c>
      <c r="Q319" s="32">
        <f>Rådatakommune[[#This Row],[Kvinner20-39-O]]/Rådatakommune[[#This Row],[B17-O]]</f>
        <v>0.12748843756283934</v>
      </c>
      <c r="R319" s="32">
        <f>Rådatakommune[[#This Row],[Eldre67+-O]]/Rådatakommune[[#This Row],[B17-O]]</f>
        <v>0.152976070782224</v>
      </c>
      <c r="S319" s="32">
        <f>Rådatakommune[[#This Row],[S16-O]]/Rådatakommune[[#This Row],[S06-O]]-1</f>
        <v>9.6167008898015105E-2</v>
      </c>
      <c r="T319" s="32">
        <f>Rådatakommune[[#This Row],[Y16-O]]/Rådatakommune[[#This Row],[Folk20-64-O]]</f>
        <v>0.86106990138755568</v>
      </c>
    </row>
    <row r="320" spans="1:20" x14ac:dyDescent="0.25">
      <c r="A320" s="2" t="s">
        <v>907</v>
      </c>
      <c r="B320" s="2">
        <v>319</v>
      </c>
      <c r="C320" s="35">
        <v>13962</v>
      </c>
      <c r="D320" s="34">
        <v>14849</v>
      </c>
      <c r="E320" s="31">
        <v>7078</v>
      </c>
      <c r="F320" s="36">
        <v>2421</v>
      </c>
      <c r="G320" s="37">
        <v>1704</v>
      </c>
      <c r="H320">
        <v>8397</v>
      </c>
      <c r="I320" s="31">
        <v>6088</v>
      </c>
      <c r="J320" s="31">
        <v>6468</v>
      </c>
      <c r="K320" s="7">
        <v>1547.7800000000002</v>
      </c>
      <c r="L320" s="38">
        <v>371700</v>
      </c>
      <c r="M320" s="39">
        <v>204.375</v>
      </c>
      <c r="N320">
        <v>5</v>
      </c>
      <c r="O320" s="30">
        <f>Rådatakommune[[#This Row],[B17-O]]/Rådatakommune[[#This Row],[Totalareal2017-O]]</f>
        <v>9.5937407125043599</v>
      </c>
      <c r="P320" s="32">
        <f>Rådatakommune[[#This Row],[B17-O]]/Rådatakommune[[#This Row],[B07-O]]-1</f>
        <v>6.3529580289356735E-2</v>
      </c>
      <c r="Q320" s="32">
        <f>Rådatakommune[[#This Row],[Kvinner20-39-O]]/Rådatakommune[[#This Row],[B17-O]]</f>
        <v>0.11475520237053</v>
      </c>
      <c r="R320" s="32">
        <f>Rådatakommune[[#This Row],[Eldre67+-O]]/Rådatakommune[[#This Row],[B17-O]]</f>
        <v>0.16304128224122835</v>
      </c>
      <c r="S320" s="32">
        <f>Rådatakommune[[#This Row],[S16-O]]/Rådatakommune[[#This Row],[S06-O]]-1</f>
        <v>6.2417871222076204E-2</v>
      </c>
      <c r="T320" s="32">
        <f>Rådatakommune[[#This Row],[Y16-O]]/Rådatakommune[[#This Row],[Folk20-64-O]]</f>
        <v>0.84292009050851491</v>
      </c>
    </row>
    <row r="321" spans="1:20" x14ac:dyDescent="0.25">
      <c r="A321" s="2" t="s">
        <v>908</v>
      </c>
      <c r="B321" s="2">
        <v>320</v>
      </c>
      <c r="C321" s="35">
        <v>2623</v>
      </c>
      <c r="D321" s="34">
        <v>2515</v>
      </c>
      <c r="E321" s="31">
        <v>1019</v>
      </c>
      <c r="F321" s="36">
        <v>529</v>
      </c>
      <c r="G321" s="37">
        <v>232</v>
      </c>
      <c r="H321">
        <v>1389</v>
      </c>
      <c r="I321" s="31">
        <v>942</v>
      </c>
      <c r="J321" s="31">
        <v>1005</v>
      </c>
      <c r="K321" s="7">
        <v>601.66</v>
      </c>
      <c r="L321" s="38">
        <v>328800</v>
      </c>
      <c r="M321" s="39">
        <v>254.78125</v>
      </c>
      <c r="N321">
        <v>6</v>
      </c>
      <c r="O321" s="30">
        <f>Rådatakommune[[#This Row],[B17-O]]/Rådatakommune[[#This Row],[Totalareal2017-O]]</f>
        <v>4.1801017185785998</v>
      </c>
      <c r="P321" s="32">
        <f>Rådatakommune[[#This Row],[B17-O]]/Rådatakommune[[#This Row],[B07-O]]-1</f>
        <v>-4.1174227983225342E-2</v>
      </c>
      <c r="Q321" s="32">
        <f>Rådatakommune[[#This Row],[Kvinner20-39-O]]/Rådatakommune[[#This Row],[B17-O]]</f>
        <v>9.2246520874751492E-2</v>
      </c>
      <c r="R321" s="32">
        <f>Rådatakommune[[#This Row],[Eldre67+-O]]/Rådatakommune[[#This Row],[B17-O]]</f>
        <v>0.21033797216699801</v>
      </c>
      <c r="S321" s="32">
        <f>Rådatakommune[[#This Row],[S16-O]]/Rådatakommune[[#This Row],[S06-O]]-1</f>
        <v>6.6878980891719841E-2</v>
      </c>
      <c r="T321" s="32">
        <f>Rådatakommune[[#This Row],[Y16-O]]/Rådatakommune[[#This Row],[Folk20-64-O]]</f>
        <v>0.73362131029517641</v>
      </c>
    </row>
    <row r="322" spans="1:20" x14ac:dyDescent="0.25">
      <c r="A322" s="2" t="s">
        <v>909</v>
      </c>
      <c r="B322" s="2">
        <v>321</v>
      </c>
      <c r="C322" s="35">
        <v>1741</v>
      </c>
      <c r="D322" s="34">
        <v>1593</v>
      </c>
      <c r="E322" s="31">
        <v>780</v>
      </c>
      <c r="F322" s="36">
        <v>332</v>
      </c>
      <c r="G322" s="37">
        <v>147</v>
      </c>
      <c r="H322">
        <v>844</v>
      </c>
      <c r="I322" s="31">
        <v>666</v>
      </c>
      <c r="J322" s="31">
        <v>610</v>
      </c>
      <c r="K322" s="7">
        <v>769.6400000000001</v>
      </c>
      <c r="L322" s="38">
        <v>360200</v>
      </c>
      <c r="M322" s="39">
        <v>243.0625</v>
      </c>
      <c r="N322">
        <v>6</v>
      </c>
      <c r="O322" s="30">
        <f>Rådatakommune[[#This Row],[B17-O]]/Rådatakommune[[#This Row],[Totalareal2017-O]]</f>
        <v>2.0697988670027541</v>
      </c>
      <c r="P322" s="32">
        <f>Rådatakommune[[#This Row],[B17-O]]/Rådatakommune[[#This Row],[B07-O]]-1</f>
        <v>-8.5008615738081605E-2</v>
      </c>
      <c r="Q322" s="32">
        <f>Rådatakommune[[#This Row],[Kvinner20-39-O]]/Rådatakommune[[#This Row],[B17-O]]</f>
        <v>9.2278719397363471E-2</v>
      </c>
      <c r="R322" s="32">
        <f>Rådatakommune[[#This Row],[Eldre67+-O]]/Rådatakommune[[#This Row],[B17-O]]</f>
        <v>0.20841180163214063</v>
      </c>
      <c r="S322" s="32">
        <f>Rådatakommune[[#This Row],[S16-O]]/Rådatakommune[[#This Row],[S06-O]]-1</f>
        <v>-8.4084084084084076E-2</v>
      </c>
      <c r="T322" s="32">
        <f>Rådatakommune[[#This Row],[Y16-O]]/Rådatakommune[[#This Row],[Folk20-64-O]]</f>
        <v>0.92417061611374407</v>
      </c>
    </row>
    <row r="323" spans="1:20" x14ac:dyDescent="0.25">
      <c r="A323" s="2" t="s">
        <v>910</v>
      </c>
      <c r="B323" s="2">
        <v>322</v>
      </c>
      <c r="C323" s="35">
        <v>2197</v>
      </c>
      <c r="D323" s="34">
        <v>2159</v>
      </c>
      <c r="E323" s="31">
        <v>1041</v>
      </c>
      <c r="F323" s="36">
        <v>448</v>
      </c>
      <c r="G323" s="37">
        <v>224</v>
      </c>
      <c r="H323">
        <v>1155</v>
      </c>
      <c r="I323" s="31">
        <v>936</v>
      </c>
      <c r="J323" s="31">
        <v>876</v>
      </c>
      <c r="K323" s="7">
        <v>2342.6600000000003</v>
      </c>
      <c r="L323" s="38">
        <v>359900</v>
      </c>
      <c r="M323" s="39">
        <v>268.125</v>
      </c>
      <c r="N323">
        <v>6</v>
      </c>
      <c r="O323" s="30">
        <f>Rådatakommune[[#This Row],[B17-O]]/Rådatakommune[[#This Row],[Totalareal2017-O]]</f>
        <v>0.9216019396754116</v>
      </c>
      <c r="P323" s="32">
        <f>Rådatakommune[[#This Row],[B17-O]]/Rådatakommune[[#This Row],[B07-O]]-1</f>
        <v>-1.7296313154301357E-2</v>
      </c>
      <c r="Q323" s="32">
        <f>Rådatakommune[[#This Row],[Kvinner20-39-O]]/Rådatakommune[[#This Row],[B17-O]]</f>
        <v>0.10375173691523853</v>
      </c>
      <c r="R323" s="32">
        <f>Rådatakommune[[#This Row],[Eldre67+-O]]/Rådatakommune[[#This Row],[B17-O]]</f>
        <v>0.20750347383047707</v>
      </c>
      <c r="S323" s="32">
        <f>Rådatakommune[[#This Row],[S16-O]]/Rådatakommune[[#This Row],[S06-O]]-1</f>
        <v>-6.4102564102564097E-2</v>
      </c>
      <c r="T323" s="32">
        <f>Rådatakommune[[#This Row],[Y16-O]]/Rådatakommune[[#This Row],[Folk20-64-O]]</f>
        <v>0.90129870129870127</v>
      </c>
    </row>
    <row r="324" spans="1:20" x14ac:dyDescent="0.25">
      <c r="A324" s="2" t="s">
        <v>911</v>
      </c>
      <c r="B324" s="2">
        <v>323</v>
      </c>
      <c r="C324" s="35">
        <v>1485</v>
      </c>
      <c r="D324" s="34">
        <v>1389</v>
      </c>
      <c r="E324" s="31">
        <v>703</v>
      </c>
      <c r="F324" s="36">
        <v>301</v>
      </c>
      <c r="G324" s="37">
        <v>125</v>
      </c>
      <c r="H324">
        <v>718</v>
      </c>
      <c r="I324" s="31">
        <v>663</v>
      </c>
      <c r="J324" s="31">
        <v>610</v>
      </c>
      <c r="K324" s="7">
        <v>2961.7</v>
      </c>
      <c r="L324" s="38">
        <v>377800</v>
      </c>
      <c r="M324" s="39">
        <v>304.25</v>
      </c>
      <c r="N324">
        <v>11</v>
      </c>
      <c r="O324" s="30">
        <f>Rådatakommune[[#This Row],[B17-O]]/Rådatakommune[[#This Row],[Totalareal2017-O]]</f>
        <v>0.46898740588175714</v>
      </c>
      <c r="P324" s="32">
        <f>Rådatakommune[[#This Row],[B17-O]]/Rådatakommune[[#This Row],[B07-O]]-1</f>
        <v>-6.4646464646464619E-2</v>
      </c>
      <c r="Q324" s="32">
        <f>Rådatakommune[[#This Row],[Kvinner20-39-O]]/Rådatakommune[[#This Row],[B17-O]]</f>
        <v>8.9992800575953921E-2</v>
      </c>
      <c r="R324" s="32">
        <f>Rådatakommune[[#This Row],[Eldre67+-O]]/Rådatakommune[[#This Row],[B17-O]]</f>
        <v>0.21670266378689704</v>
      </c>
      <c r="S324" s="32">
        <f>Rådatakommune[[#This Row],[S16-O]]/Rådatakommune[[#This Row],[S06-O]]-1</f>
        <v>-7.9939668174962342E-2</v>
      </c>
      <c r="T324" s="32">
        <f>Rådatakommune[[#This Row],[Y16-O]]/Rådatakommune[[#This Row],[Folk20-64-O]]</f>
        <v>0.97910863509749302</v>
      </c>
    </row>
    <row r="325" spans="1:20" x14ac:dyDescent="0.25">
      <c r="A325" s="2" t="s">
        <v>912</v>
      </c>
      <c r="B325" s="2">
        <v>324</v>
      </c>
      <c r="C325" s="35">
        <v>526</v>
      </c>
      <c r="D325" s="34">
        <v>469</v>
      </c>
      <c r="E325" s="31">
        <v>240</v>
      </c>
      <c r="F325" s="36">
        <v>117</v>
      </c>
      <c r="G325" s="37">
        <v>38</v>
      </c>
      <c r="H325">
        <v>241</v>
      </c>
      <c r="I325" s="31">
        <v>226</v>
      </c>
      <c r="J325" s="31">
        <v>193</v>
      </c>
      <c r="K325" s="7">
        <v>1584.7600000000002</v>
      </c>
      <c r="L325" s="38">
        <v>370100</v>
      </c>
      <c r="M325" s="39">
        <v>317.0625</v>
      </c>
      <c r="N325">
        <v>11</v>
      </c>
      <c r="O325" s="30">
        <f>Rådatakommune[[#This Row],[B17-O]]/Rådatakommune[[#This Row],[Totalareal2017-O]]</f>
        <v>0.29594386531714578</v>
      </c>
      <c r="P325" s="32">
        <f>Rådatakommune[[#This Row],[B17-O]]/Rådatakommune[[#This Row],[B07-O]]-1</f>
        <v>-0.10836501901140683</v>
      </c>
      <c r="Q325" s="32">
        <f>Rådatakommune[[#This Row],[Kvinner20-39-O]]/Rådatakommune[[#This Row],[B17-O]]</f>
        <v>8.1023454157782518E-2</v>
      </c>
      <c r="R325" s="32">
        <f>Rådatakommune[[#This Row],[Eldre67+-O]]/Rådatakommune[[#This Row],[B17-O]]</f>
        <v>0.24946695095948826</v>
      </c>
      <c r="S325" s="32">
        <f>Rådatakommune[[#This Row],[S16-O]]/Rådatakommune[[#This Row],[S06-O]]-1</f>
        <v>-0.14601769911504425</v>
      </c>
      <c r="T325" s="32">
        <f>Rådatakommune[[#This Row],[Y16-O]]/Rådatakommune[[#This Row],[Folk20-64-O]]</f>
        <v>0.99585062240663902</v>
      </c>
    </row>
    <row r="326" spans="1:20" x14ac:dyDescent="0.25">
      <c r="A326" s="2" t="s">
        <v>913</v>
      </c>
      <c r="B326" s="2">
        <v>325</v>
      </c>
      <c r="C326" s="35">
        <v>933</v>
      </c>
      <c r="D326" s="34">
        <v>872</v>
      </c>
      <c r="E326" s="31">
        <v>410</v>
      </c>
      <c r="F326" s="36">
        <v>213</v>
      </c>
      <c r="G326" s="37">
        <v>76</v>
      </c>
      <c r="H326">
        <v>450</v>
      </c>
      <c r="I326" s="31">
        <v>415</v>
      </c>
      <c r="J326" s="31">
        <v>380</v>
      </c>
      <c r="K326" s="7">
        <v>1417.16</v>
      </c>
      <c r="L326" s="38">
        <v>373300</v>
      </c>
      <c r="M326" s="39">
        <v>290.875</v>
      </c>
      <c r="N326">
        <v>11</v>
      </c>
      <c r="O326" s="30">
        <f>Rådatakommune[[#This Row],[B17-O]]/Rådatakommune[[#This Row],[Totalareal2017-O]]</f>
        <v>0.61531513731688725</v>
      </c>
      <c r="P326" s="32">
        <f>Rådatakommune[[#This Row],[B17-O]]/Rådatakommune[[#This Row],[B07-O]]-1</f>
        <v>-6.5380493033226128E-2</v>
      </c>
      <c r="Q326" s="32">
        <f>Rådatakommune[[#This Row],[Kvinner20-39-O]]/Rådatakommune[[#This Row],[B17-O]]</f>
        <v>8.7155963302752298E-2</v>
      </c>
      <c r="R326" s="32">
        <f>Rådatakommune[[#This Row],[Eldre67+-O]]/Rådatakommune[[#This Row],[B17-O]]</f>
        <v>0.24426605504587157</v>
      </c>
      <c r="S326" s="32">
        <f>Rådatakommune[[#This Row],[S16-O]]/Rådatakommune[[#This Row],[S06-O]]-1</f>
        <v>-8.4337349397590411E-2</v>
      </c>
      <c r="T326" s="32">
        <f>Rådatakommune[[#This Row],[Y16-O]]/Rådatakommune[[#This Row],[Folk20-64-O]]</f>
        <v>0.91111111111111109</v>
      </c>
    </row>
    <row r="327" spans="1:20" x14ac:dyDescent="0.25">
      <c r="A327" s="2" t="s">
        <v>914</v>
      </c>
      <c r="B327" s="2">
        <v>326</v>
      </c>
      <c r="C327" s="35">
        <v>2387</v>
      </c>
      <c r="D327" s="34">
        <v>2467</v>
      </c>
      <c r="E327" s="31">
        <v>1180</v>
      </c>
      <c r="F327" s="36">
        <v>471</v>
      </c>
      <c r="G327" s="37">
        <v>241</v>
      </c>
      <c r="H327">
        <v>1342</v>
      </c>
      <c r="I327" s="31">
        <v>1150</v>
      </c>
      <c r="J327" s="31">
        <v>1152</v>
      </c>
      <c r="K327" s="7">
        <v>1136.17</v>
      </c>
      <c r="L327" s="38">
        <v>348100</v>
      </c>
      <c r="M327" s="39">
        <v>247.25</v>
      </c>
      <c r="N327">
        <v>6</v>
      </c>
      <c r="O327" s="30">
        <f>Rådatakommune[[#This Row],[B17-O]]/Rådatakommune[[#This Row],[Totalareal2017-O]]</f>
        <v>2.1713299946310851</v>
      </c>
      <c r="P327" s="32">
        <f>Rådatakommune[[#This Row],[B17-O]]/Rådatakommune[[#This Row],[B07-O]]-1</f>
        <v>3.3514872224549741E-2</v>
      </c>
      <c r="Q327" s="32">
        <f>Rådatakommune[[#This Row],[Kvinner20-39-O]]/Rådatakommune[[#This Row],[B17-O]]</f>
        <v>9.7689501418727204E-2</v>
      </c>
      <c r="R327" s="32">
        <f>Rådatakommune[[#This Row],[Eldre67+-O]]/Rådatakommune[[#This Row],[B17-O]]</f>
        <v>0.19092014592622619</v>
      </c>
      <c r="S327" s="32">
        <f>Rådatakommune[[#This Row],[S16-O]]/Rådatakommune[[#This Row],[S06-O]]-1</f>
        <v>1.7391304347826875E-3</v>
      </c>
      <c r="T327" s="32">
        <f>Rådatakommune[[#This Row],[Y16-O]]/Rådatakommune[[#This Row],[Folk20-64-O]]</f>
        <v>0.87928464977645304</v>
      </c>
    </row>
    <row r="328" spans="1:20" x14ac:dyDescent="0.25">
      <c r="A328" s="2" t="s">
        <v>915</v>
      </c>
      <c r="B328" s="2">
        <v>327</v>
      </c>
      <c r="C328" s="35">
        <v>1266</v>
      </c>
      <c r="D328" s="34">
        <v>1264</v>
      </c>
      <c r="E328" s="31">
        <v>640</v>
      </c>
      <c r="F328" s="36">
        <v>263</v>
      </c>
      <c r="G328" s="37">
        <v>122</v>
      </c>
      <c r="H328">
        <v>626</v>
      </c>
      <c r="I328" s="31">
        <v>502</v>
      </c>
      <c r="J328" s="31">
        <v>517</v>
      </c>
      <c r="K328" s="7">
        <v>754.68</v>
      </c>
      <c r="L328" s="38">
        <v>405800</v>
      </c>
      <c r="M328" s="39">
        <v>249.625</v>
      </c>
      <c r="N328">
        <v>6</v>
      </c>
      <c r="O328" s="30">
        <f>Rådatakommune[[#This Row],[B17-O]]/Rådatakommune[[#This Row],[Totalareal2017-O]]</f>
        <v>1.6748820692213919</v>
      </c>
      <c r="P328" s="32">
        <f>Rådatakommune[[#This Row],[B17-O]]/Rådatakommune[[#This Row],[B07-O]]-1</f>
        <v>-1.5797788309637184E-3</v>
      </c>
      <c r="Q328" s="32">
        <f>Rådatakommune[[#This Row],[Kvinner20-39-O]]/Rådatakommune[[#This Row],[B17-O]]</f>
        <v>9.6518987341772153E-2</v>
      </c>
      <c r="R328" s="32">
        <f>Rådatakommune[[#This Row],[Eldre67+-O]]/Rådatakommune[[#This Row],[B17-O]]</f>
        <v>0.20806962025316456</v>
      </c>
      <c r="S328" s="32">
        <f>Rådatakommune[[#This Row],[S16-O]]/Rådatakommune[[#This Row],[S06-O]]-1</f>
        <v>2.9880478087649376E-2</v>
      </c>
      <c r="T328" s="32">
        <f>Rådatakommune[[#This Row],[Y16-O]]/Rådatakommune[[#This Row],[Folk20-64-O]]</f>
        <v>1.0223642172523961</v>
      </c>
    </row>
    <row r="329" spans="1:20" x14ac:dyDescent="0.25">
      <c r="A329" s="2" t="s">
        <v>916</v>
      </c>
      <c r="B329" s="2">
        <v>328</v>
      </c>
      <c r="C329" s="35">
        <v>3505</v>
      </c>
      <c r="D329" s="34">
        <v>3840</v>
      </c>
      <c r="E329" s="31">
        <v>1947</v>
      </c>
      <c r="F329" s="36">
        <v>606</v>
      </c>
      <c r="G329" s="37">
        <v>463</v>
      </c>
      <c r="H329">
        <v>2122</v>
      </c>
      <c r="I329" s="31">
        <v>1286</v>
      </c>
      <c r="J329" s="31">
        <v>1509</v>
      </c>
      <c r="K329" s="7">
        <v>729.79</v>
      </c>
      <c r="L329" s="38">
        <v>395900</v>
      </c>
      <c r="M329" s="39">
        <v>227.40625</v>
      </c>
      <c r="N329">
        <v>6</v>
      </c>
      <c r="O329" s="30">
        <f>Rådatakommune[[#This Row],[B17-O]]/Rådatakommune[[#This Row],[Totalareal2017-O]]</f>
        <v>5.261787637539566</v>
      </c>
      <c r="P329" s="32">
        <f>Rådatakommune[[#This Row],[B17-O]]/Rådatakommune[[#This Row],[B07-O]]-1</f>
        <v>9.5577746077032844E-2</v>
      </c>
      <c r="Q329" s="32">
        <f>Rådatakommune[[#This Row],[Kvinner20-39-O]]/Rådatakommune[[#This Row],[B17-O]]</f>
        <v>0.12057291666666667</v>
      </c>
      <c r="R329" s="32">
        <f>Rådatakommune[[#This Row],[Eldre67+-O]]/Rådatakommune[[#This Row],[B17-O]]</f>
        <v>0.15781249999999999</v>
      </c>
      <c r="S329" s="32">
        <f>Rådatakommune[[#This Row],[S16-O]]/Rådatakommune[[#This Row],[S06-O]]-1</f>
        <v>0.17340590979782267</v>
      </c>
      <c r="T329" s="32">
        <f>Rådatakommune[[#This Row],[Y16-O]]/Rådatakommune[[#This Row],[Folk20-64-O]]</f>
        <v>0.91753063147973613</v>
      </c>
    </row>
    <row r="330" spans="1:20" x14ac:dyDescent="0.25">
      <c r="A330" s="2" t="s">
        <v>917</v>
      </c>
      <c r="B330" s="2">
        <v>329</v>
      </c>
      <c r="C330" s="35">
        <v>712</v>
      </c>
      <c r="D330" s="34">
        <v>628</v>
      </c>
      <c r="E330" s="31">
        <v>277</v>
      </c>
      <c r="F330" s="36">
        <v>161</v>
      </c>
      <c r="G330" s="37">
        <v>50</v>
      </c>
      <c r="H330">
        <v>327</v>
      </c>
      <c r="I330" s="31">
        <v>231</v>
      </c>
      <c r="J330" s="31">
        <v>226</v>
      </c>
      <c r="K330" s="7">
        <v>544.27</v>
      </c>
      <c r="L330" s="38">
        <v>332400</v>
      </c>
      <c r="M330" s="39">
        <v>253.875</v>
      </c>
      <c r="N330">
        <v>6</v>
      </c>
      <c r="O330" s="30">
        <f>Rådatakommune[[#This Row],[B17-O]]/Rådatakommune[[#This Row],[Totalareal2017-O]]</f>
        <v>1.1538390872177413</v>
      </c>
      <c r="P330" s="32">
        <f>Rådatakommune[[#This Row],[B17-O]]/Rådatakommune[[#This Row],[B07-O]]-1</f>
        <v>-0.1179775280898876</v>
      </c>
      <c r="Q330" s="32">
        <f>Rådatakommune[[#This Row],[Kvinner20-39-O]]/Rådatakommune[[#This Row],[B17-O]]</f>
        <v>7.9617834394904455E-2</v>
      </c>
      <c r="R330" s="32">
        <f>Rådatakommune[[#This Row],[Eldre67+-O]]/Rådatakommune[[#This Row],[B17-O]]</f>
        <v>0.25636942675159236</v>
      </c>
      <c r="S330" s="32">
        <f>Rådatakommune[[#This Row],[S16-O]]/Rådatakommune[[#This Row],[S06-O]]-1</f>
        <v>-2.1645021645021689E-2</v>
      </c>
      <c r="T330" s="32">
        <f>Rådatakommune[[#This Row],[Y16-O]]/Rådatakommune[[#This Row],[Folk20-64-O]]</f>
        <v>0.84709480122324154</v>
      </c>
    </row>
    <row r="331" spans="1:20" x14ac:dyDescent="0.25">
      <c r="A331" s="2" t="s">
        <v>918</v>
      </c>
      <c r="B331" s="2">
        <v>330</v>
      </c>
      <c r="C331" s="35">
        <v>1168</v>
      </c>
      <c r="D331" s="34">
        <v>1090</v>
      </c>
      <c r="E331" s="31">
        <v>577</v>
      </c>
      <c r="F331" s="36">
        <v>220</v>
      </c>
      <c r="G331" s="37">
        <v>98</v>
      </c>
      <c r="H331">
        <v>616</v>
      </c>
      <c r="I331" s="31">
        <v>437</v>
      </c>
      <c r="J331" s="31">
        <v>524</v>
      </c>
      <c r="K331" s="7">
        <v>458.71</v>
      </c>
      <c r="L331" s="38">
        <v>376300</v>
      </c>
      <c r="M331" s="39">
        <v>265.4375</v>
      </c>
      <c r="N331">
        <v>11</v>
      </c>
      <c r="O331" s="30">
        <f>Rådatakommune[[#This Row],[B17-O]]/Rådatakommune[[#This Row],[Totalareal2017-O]]</f>
        <v>2.3762289899936779</v>
      </c>
      <c r="P331" s="32">
        <f>Rådatakommune[[#This Row],[B17-O]]/Rådatakommune[[#This Row],[B07-O]]-1</f>
        <v>-6.6780821917808209E-2</v>
      </c>
      <c r="Q331" s="32">
        <f>Rådatakommune[[#This Row],[Kvinner20-39-O]]/Rådatakommune[[#This Row],[B17-O]]</f>
        <v>8.990825688073395E-2</v>
      </c>
      <c r="R331" s="32">
        <f>Rådatakommune[[#This Row],[Eldre67+-O]]/Rådatakommune[[#This Row],[B17-O]]</f>
        <v>0.20183486238532111</v>
      </c>
      <c r="S331" s="32">
        <f>Rådatakommune[[#This Row],[S16-O]]/Rådatakommune[[#This Row],[S06-O]]-1</f>
        <v>0.19908466819221959</v>
      </c>
      <c r="T331" s="32">
        <f>Rådatakommune[[#This Row],[Y16-O]]/Rådatakommune[[#This Row],[Folk20-64-O]]</f>
        <v>0.93668831168831168</v>
      </c>
    </row>
    <row r="332" spans="1:20" x14ac:dyDescent="0.25">
      <c r="A332" s="2" t="s">
        <v>919</v>
      </c>
      <c r="B332" s="2">
        <v>331</v>
      </c>
      <c r="C332" s="35">
        <v>4019</v>
      </c>
      <c r="D332" s="34">
        <v>4418</v>
      </c>
      <c r="E332" s="31">
        <v>2200</v>
      </c>
      <c r="F332" s="36">
        <v>661</v>
      </c>
      <c r="G332" s="37">
        <v>546</v>
      </c>
      <c r="H332">
        <v>2494</v>
      </c>
      <c r="I332" s="31">
        <v>2212</v>
      </c>
      <c r="J332" s="31">
        <v>2516</v>
      </c>
      <c r="K332" s="7">
        <v>318.69</v>
      </c>
      <c r="L332" s="38">
        <v>413000</v>
      </c>
      <c r="M332" s="39">
        <v>250.84375</v>
      </c>
      <c r="N332">
        <v>9</v>
      </c>
      <c r="O332" s="30">
        <f>Rådatakommune[[#This Row],[B17-O]]/Rådatakommune[[#This Row],[Totalareal2017-O]]</f>
        <v>13.863001663058144</v>
      </c>
      <c r="P332" s="32">
        <f>Rådatakommune[[#This Row],[B17-O]]/Rådatakommune[[#This Row],[B07-O]]-1</f>
        <v>9.9278427469519759E-2</v>
      </c>
      <c r="Q332" s="32">
        <f>Rådatakommune[[#This Row],[Kvinner20-39-O]]/Rådatakommune[[#This Row],[B17-O]]</f>
        <v>0.12358533272974197</v>
      </c>
      <c r="R332" s="32">
        <f>Rådatakommune[[#This Row],[Eldre67+-O]]/Rådatakommune[[#This Row],[B17-O]]</f>
        <v>0.14961521050248983</v>
      </c>
      <c r="S332" s="32">
        <f>Rådatakommune[[#This Row],[S16-O]]/Rådatakommune[[#This Row],[S06-O]]-1</f>
        <v>0.13743218806509949</v>
      </c>
      <c r="T332" s="32">
        <f>Rådatakommune[[#This Row],[Y16-O]]/Rådatakommune[[#This Row],[Folk20-64-O]]</f>
        <v>0.88211708099438657</v>
      </c>
    </row>
    <row r="333" spans="1:20" x14ac:dyDescent="0.25">
      <c r="A333" s="2" t="s">
        <v>920</v>
      </c>
      <c r="B333" s="2">
        <v>332</v>
      </c>
      <c r="C333" s="35">
        <v>5073</v>
      </c>
      <c r="D333" s="34">
        <v>5138</v>
      </c>
      <c r="E333" s="31">
        <v>2458</v>
      </c>
      <c r="F333" s="36">
        <v>930</v>
      </c>
      <c r="G333" s="37">
        <v>546</v>
      </c>
      <c r="H333">
        <v>2869</v>
      </c>
      <c r="I333" s="31">
        <v>1901</v>
      </c>
      <c r="J333" s="31">
        <v>1993</v>
      </c>
      <c r="K333" s="7">
        <v>1067.54</v>
      </c>
      <c r="L333" s="38">
        <v>379200</v>
      </c>
      <c r="M333" s="39">
        <v>264.25</v>
      </c>
      <c r="N333">
        <v>9</v>
      </c>
      <c r="O333" s="30">
        <f>Rådatakommune[[#This Row],[B17-O]]/Rådatakommune[[#This Row],[Totalareal2017-O]]</f>
        <v>4.8129344099518523</v>
      </c>
      <c r="P333" s="32">
        <f>Rådatakommune[[#This Row],[B17-O]]/Rådatakommune[[#This Row],[B07-O]]-1</f>
        <v>1.2812931204415623E-2</v>
      </c>
      <c r="Q333" s="32">
        <f>Rådatakommune[[#This Row],[Kvinner20-39-O]]/Rådatakommune[[#This Row],[B17-O]]</f>
        <v>0.10626702997275204</v>
      </c>
      <c r="R333" s="32">
        <f>Rådatakommune[[#This Row],[Eldre67+-O]]/Rådatakommune[[#This Row],[B17-O]]</f>
        <v>0.18100428182172051</v>
      </c>
      <c r="S333" s="32">
        <f>Rådatakommune[[#This Row],[S16-O]]/Rådatakommune[[#This Row],[S06-O]]-1</f>
        <v>4.8395581273014132E-2</v>
      </c>
      <c r="T333" s="32">
        <f>Rådatakommune[[#This Row],[Y16-O]]/Rådatakommune[[#This Row],[Folk20-64-O]]</f>
        <v>0.85674451028232834</v>
      </c>
    </row>
    <row r="334" spans="1:20" x14ac:dyDescent="0.25">
      <c r="A334" s="2" t="s">
        <v>921</v>
      </c>
      <c r="B334" s="2">
        <v>333</v>
      </c>
      <c r="C334" s="35">
        <v>583</v>
      </c>
      <c r="D334" s="34">
        <v>584</v>
      </c>
      <c r="E334" s="31">
        <v>270</v>
      </c>
      <c r="F334" s="36">
        <v>153</v>
      </c>
      <c r="G334" s="37">
        <v>43</v>
      </c>
      <c r="H334">
        <v>303</v>
      </c>
      <c r="I334" s="31">
        <v>253</v>
      </c>
      <c r="J334" s="31">
        <v>235</v>
      </c>
      <c r="K334" s="7">
        <v>110.02</v>
      </c>
      <c r="L334" s="38">
        <v>364200</v>
      </c>
      <c r="M334" s="39">
        <v>330.5625</v>
      </c>
      <c r="N334">
        <v>11</v>
      </c>
      <c r="O334" s="30">
        <f>Rådatakommune[[#This Row],[B17-O]]/Rådatakommune[[#This Row],[Totalareal2017-O]]</f>
        <v>5.3081257953099437</v>
      </c>
      <c r="P334" s="32">
        <f>Rådatakommune[[#This Row],[B17-O]]/Rådatakommune[[#This Row],[B07-O]]-1</f>
        <v>1.7152658662091813E-3</v>
      </c>
      <c r="Q334" s="32">
        <f>Rådatakommune[[#This Row],[Kvinner20-39-O]]/Rådatakommune[[#This Row],[B17-O]]</f>
        <v>7.3630136986301373E-2</v>
      </c>
      <c r="R334" s="32">
        <f>Rådatakommune[[#This Row],[Eldre67+-O]]/Rådatakommune[[#This Row],[B17-O]]</f>
        <v>0.26198630136986301</v>
      </c>
      <c r="S334" s="32">
        <f>Rådatakommune[[#This Row],[S16-O]]/Rådatakommune[[#This Row],[S06-O]]-1</f>
        <v>-7.1146245059288571E-2</v>
      </c>
      <c r="T334" s="32">
        <f>Rådatakommune[[#This Row],[Y16-O]]/Rådatakommune[[#This Row],[Folk20-64-O]]</f>
        <v>0.8910891089108911</v>
      </c>
    </row>
    <row r="335" spans="1:20" x14ac:dyDescent="0.25">
      <c r="A335" s="2" t="s">
        <v>922</v>
      </c>
      <c r="B335" s="2">
        <v>334</v>
      </c>
      <c r="C335" s="35">
        <v>6794</v>
      </c>
      <c r="D335" s="34">
        <v>6800</v>
      </c>
      <c r="E335" s="31">
        <v>3263</v>
      </c>
      <c r="F335" s="36">
        <v>1174</v>
      </c>
      <c r="G335" s="37">
        <v>710</v>
      </c>
      <c r="H335">
        <v>3721</v>
      </c>
      <c r="I335" s="40">
        <v>2192</v>
      </c>
      <c r="J335" s="31">
        <v>2215</v>
      </c>
      <c r="K335" s="7">
        <v>365.66999999999996</v>
      </c>
      <c r="L335" s="38">
        <v>390900</v>
      </c>
      <c r="M335" s="39">
        <v>216.375</v>
      </c>
      <c r="N335">
        <v>6</v>
      </c>
      <c r="O335" s="30">
        <f>Rådatakommune[[#This Row],[B17-O]]/Rådatakommune[[#This Row],[Totalareal2017-O]]</f>
        <v>18.596001859600189</v>
      </c>
      <c r="P335" s="32">
        <f>Rådatakommune[[#This Row],[B17-O]]/Rådatakommune[[#This Row],[B07-O]]-1</f>
        <v>8.8313217544899736E-4</v>
      </c>
      <c r="Q335" s="32">
        <f>Rådatakommune[[#This Row],[Kvinner20-39-O]]/Rådatakommune[[#This Row],[B17-O]]</f>
        <v>0.10441176470588236</v>
      </c>
      <c r="R335" s="32">
        <f>Rådatakommune[[#This Row],[Eldre67+-O]]/Rådatakommune[[#This Row],[B17-O]]</f>
        <v>0.1726470588235294</v>
      </c>
      <c r="S335" s="32">
        <f>Rådatakommune[[#This Row],[S16-O]]/Rådatakommune[[#This Row],[S06-O]]-1</f>
        <v>1.0492700729926918E-2</v>
      </c>
      <c r="T335" s="32">
        <f>Rådatakommune[[#This Row],[Y16-O]]/Rådatakommune[[#This Row],[Folk20-64-O]]</f>
        <v>0.87691480784735287</v>
      </c>
    </row>
    <row r="336" spans="1:20" x14ac:dyDescent="0.25">
      <c r="A336" s="52" t="s">
        <v>923</v>
      </c>
      <c r="B336" s="52">
        <v>335</v>
      </c>
      <c r="C336" s="53">
        <v>9850</v>
      </c>
      <c r="D336" s="53">
        <v>10108</v>
      </c>
      <c r="E336" s="53">
        <v>4791</v>
      </c>
      <c r="F336" s="53">
        <v>1908</v>
      </c>
      <c r="G336" s="53">
        <v>1012</v>
      </c>
      <c r="H336" s="53">
        <v>5489</v>
      </c>
      <c r="I336" s="53">
        <v>4266</v>
      </c>
      <c r="J336" s="53">
        <v>4169</v>
      </c>
      <c r="K336" s="53">
        <v>1051.5899999999999</v>
      </c>
      <c r="L336" s="46">
        <v>370519.03049838828</v>
      </c>
      <c r="M336" s="39">
        <v>245</v>
      </c>
      <c r="N336" s="54">
        <v>2</v>
      </c>
      <c r="O336" s="30">
        <f>Rådatakommune[[#This Row],[B17-O]]/Rådatakommune[[#This Row],[Totalareal2017-O]]</f>
        <v>9.6121111840165856</v>
      </c>
      <c r="P336" s="32">
        <f>Rådatakommune[[#This Row],[B17-O]]/Rådatakommune[[#This Row],[B07-O]]-1</f>
        <v>2.619289340101516E-2</v>
      </c>
      <c r="Q336" s="32">
        <f>Rådatakommune[[#This Row],[Kvinner20-39-O]]/Rådatakommune[[#This Row],[B17-O]]</f>
        <v>0.1001187178472497</v>
      </c>
      <c r="R336" s="32">
        <f>Rådatakommune[[#This Row],[Eldre67+-O]]/Rådatakommune[[#This Row],[B17-O]]</f>
        <v>0.18876137712702809</v>
      </c>
      <c r="S336" s="32">
        <f>Rådatakommune[[#This Row],[S16-O]]/Rådatakommune[[#This Row],[S06-O]]-1</f>
        <v>-2.2737927801218971E-2</v>
      </c>
      <c r="T336" s="32">
        <f>Rådatakommune[[#This Row],[Y16-O]]/Rådatakommune[[#This Row],[Folk20-64-O]]</f>
        <v>0.87283658225541993</v>
      </c>
    </row>
    <row r="337" spans="1:20" x14ac:dyDescent="0.25">
      <c r="A337" s="2" t="s">
        <v>285</v>
      </c>
      <c r="B337" s="2">
        <v>336</v>
      </c>
      <c r="C337" s="35">
        <v>45575</v>
      </c>
      <c r="D337" s="34">
        <v>51022</v>
      </c>
      <c r="E337" s="31">
        <v>26667</v>
      </c>
      <c r="F337" s="36">
        <v>6679</v>
      </c>
      <c r="G337" s="37">
        <v>6950</v>
      </c>
      <c r="H337">
        <v>30978</v>
      </c>
      <c r="I337" s="31">
        <v>25796</v>
      </c>
      <c r="J337" s="31">
        <v>27919</v>
      </c>
      <c r="K337" s="7">
        <v>1395.2800000000002</v>
      </c>
      <c r="L337" s="38">
        <v>434700</v>
      </c>
      <c r="M337" s="39">
        <v>187.875</v>
      </c>
      <c r="N337">
        <v>4</v>
      </c>
      <c r="O337" s="30">
        <f>Rådatakommune[[#This Row],[B17-O]]/Rådatakommune[[#This Row],[Totalareal2017-O]]</f>
        <v>36.567570666819556</v>
      </c>
      <c r="P337" s="33">
        <f>Rådatakommune[[#This Row],[B17-O]]/Rådatakommune[[#This Row],[B07-O]]-1</f>
        <v>0.11951727921009336</v>
      </c>
      <c r="Q337" s="32">
        <f>Rådatakommune[[#This Row],[Kvinner20-39-O]]/Rådatakommune[[#This Row],[B17-O]]</f>
        <v>0.13621575006859785</v>
      </c>
      <c r="R337" s="32">
        <f>Rådatakommune[[#This Row],[Eldre67+-O]]/Rådatakommune[[#This Row],[B17-O]]</f>
        <v>0.1309043157853475</v>
      </c>
      <c r="S337" s="32">
        <f>Rådatakommune[[#This Row],[S16-O]]/Rådatakommune[[#This Row],[S06-O]]-1</f>
        <v>8.2299581330438798E-2</v>
      </c>
      <c r="T337" s="32">
        <f>Rådatakommune[[#This Row],[Y16-O]]/Rådatakommune[[#This Row],[Folk20-64-O]]</f>
        <v>0.86083672283556067</v>
      </c>
    </row>
    <row r="338" spans="1:20" x14ac:dyDescent="0.25">
      <c r="A338" s="2" t="s">
        <v>286</v>
      </c>
      <c r="B338" s="2">
        <v>337</v>
      </c>
      <c r="C338" s="35">
        <v>18301</v>
      </c>
      <c r="D338" s="34">
        <v>18756</v>
      </c>
      <c r="E338" s="31">
        <v>8898</v>
      </c>
      <c r="F338" s="36">
        <v>3161</v>
      </c>
      <c r="G338" s="37">
        <v>2258</v>
      </c>
      <c r="H338">
        <v>11017</v>
      </c>
      <c r="I338" s="31">
        <v>8824</v>
      </c>
      <c r="J338" s="31">
        <v>9231</v>
      </c>
      <c r="K338" s="7">
        <v>2023.03</v>
      </c>
      <c r="L338" s="38">
        <v>399100</v>
      </c>
      <c r="M338" s="39">
        <v>259.3125</v>
      </c>
      <c r="N338">
        <v>5</v>
      </c>
      <c r="O338" s="30">
        <f>Rådatakommune[[#This Row],[B17-O]]/Rådatakommune[[#This Row],[Totalareal2017-O]]</f>
        <v>9.2712416523729253</v>
      </c>
      <c r="P338" s="32">
        <f>Rådatakommune[[#This Row],[B17-O]]/Rådatakommune[[#This Row],[B07-O]]-1</f>
        <v>2.4862029397300756E-2</v>
      </c>
      <c r="Q338" s="32">
        <f>Rådatakommune[[#This Row],[Kvinner20-39-O]]/Rådatakommune[[#This Row],[B17-O]]</f>
        <v>0.12038814246107912</v>
      </c>
      <c r="R338" s="32">
        <f>Rådatakommune[[#This Row],[Eldre67+-O]]/Rådatakommune[[#This Row],[B17-O]]</f>
        <v>0.16853273619108552</v>
      </c>
      <c r="S338" s="32">
        <f>Rådatakommune[[#This Row],[S16-O]]/Rådatakommune[[#This Row],[S06-O]]-1</f>
        <v>4.6124206708975546E-2</v>
      </c>
      <c r="T338" s="32">
        <f>Rådatakommune[[#This Row],[Y16-O]]/Rådatakommune[[#This Row],[Folk20-64-O]]</f>
        <v>0.8076608877189797</v>
      </c>
    </row>
    <row r="339" spans="1:20" x14ac:dyDescent="0.25">
      <c r="A339" s="2" t="s">
        <v>287</v>
      </c>
      <c r="B339" s="2">
        <v>338</v>
      </c>
      <c r="C339" s="35">
        <v>1692</v>
      </c>
      <c r="D339" s="34">
        <v>1473</v>
      </c>
      <c r="E339" s="31">
        <v>640</v>
      </c>
      <c r="F339" s="36">
        <v>352</v>
      </c>
      <c r="G339" s="37">
        <v>124</v>
      </c>
      <c r="H339">
        <v>750</v>
      </c>
      <c r="I339" s="31">
        <v>655</v>
      </c>
      <c r="J339" s="31">
        <v>476</v>
      </c>
      <c r="K339" s="7">
        <v>1264.25</v>
      </c>
      <c r="L339" s="38">
        <v>349000</v>
      </c>
      <c r="M339" s="39">
        <v>306.8125</v>
      </c>
      <c r="N339">
        <v>11</v>
      </c>
      <c r="O339" s="30">
        <f>Rådatakommune[[#This Row],[B17-O]]/Rådatakommune[[#This Row],[Totalareal2017-O]]</f>
        <v>1.1651176586909235</v>
      </c>
      <c r="P339" s="32">
        <f>Rådatakommune[[#This Row],[B17-O]]/Rådatakommune[[#This Row],[B07-O]]-1</f>
        <v>-0.12943262411347523</v>
      </c>
      <c r="Q339" s="32">
        <f>Rådatakommune[[#This Row],[Kvinner20-39-O]]/Rådatakommune[[#This Row],[B17-O]]</f>
        <v>8.4181941615750169E-2</v>
      </c>
      <c r="R339" s="32">
        <f>Rådatakommune[[#This Row],[Eldre67+-O]]/Rådatakommune[[#This Row],[B17-O]]</f>
        <v>0.23896809232858113</v>
      </c>
      <c r="S339" s="32">
        <f>Rådatakommune[[#This Row],[S16-O]]/Rådatakommune[[#This Row],[S06-O]]-1</f>
        <v>-0.27328244274809166</v>
      </c>
      <c r="T339" s="32">
        <f>Rådatakommune[[#This Row],[Y16-O]]/Rådatakommune[[#This Row],[Folk20-64-O]]</f>
        <v>0.85333333333333339</v>
      </c>
    </row>
    <row r="340" spans="1:20" x14ac:dyDescent="0.25">
      <c r="A340" s="2" t="s">
        <v>288</v>
      </c>
      <c r="B340" s="2">
        <v>339</v>
      </c>
      <c r="C340" s="35">
        <v>2047</v>
      </c>
      <c r="D340" s="34">
        <v>2047</v>
      </c>
      <c r="E340" s="31">
        <v>978</v>
      </c>
      <c r="F340" s="36">
        <v>396</v>
      </c>
      <c r="G340" s="37">
        <v>202</v>
      </c>
      <c r="H340">
        <v>1129</v>
      </c>
      <c r="I340" s="31">
        <v>893</v>
      </c>
      <c r="J340" s="31">
        <v>844</v>
      </c>
      <c r="K340" s="7">
        <v>195.26</v>
      </c>
      <c r="L340" s="38">
        <v>368400</v>
      </c>
      <c r="M340" s="39">
        <v>234.75</v>
      </c>
      <c r="N340">
        <v>7</v>
      </c>
      <c r="O340" s="30">
        <f>Rådatakommune[[#This Row],[B17-O]]/Rådatakommune[[#This Row],[Totalareal2017-O]]</f>
        <v>10.483457953497901</v>
      </c>
      <c r="P340" s="32">
        <f>Rådatakommune[[#This Row],[B17-O]]/Rådatakommune[[#This Row],[B07-O]]-1</f>
        <v>0</v>
      </c>
      <c r="Q340" s="32">
        <f>Rådatakommune[[#This Row],[Kvinner20-39-O]]/Rådatakommune[[#This Row],[B17-O]]</f>
        <v>9.8680996580361502E-2</v>
      </c>
      <c r="R340" s="32">
        <f>Rådatakommune[[#This Row],[Eldre67+-O]]/Rådatakommune[[#This Row],[B17-O]]</f>
        <v>0.19345383488031265</v>
      </c>
      <c r="S340" s="32">
        <f>Rådatakommune[[#This Row],[S16-O]]/Rådatakommune[[#This Row],[S06-O]]-1</f>
        <v>-5.4871220604703286E-2</v>
      </c>
      <c r="T340" s="32">
        <f>Rådatakommune[[#This Row],[Y16-O]]/Rådatakommune[[#This Row],[Folk20-64-O]]</f>
        <v>0.86625332152347212</v>
      </c>
    </row>
    <row r="341" spans="1:20" x14ac:dyDescent="0.25">
      <c r="A341" s="2" t="s">
        <v>289</v>
      </c>
      <c r="B341" s="2">
        <v>340</v>
      </c>
      <c r="C341" s="35">
        <v>7548</v>
      </c>
      <c r="D341" s="34">
        <v>7956</v>
      </c>
      <c r="E341" s="31">
        <v>3827</v>
      </c>
      <c r="F341" s="36">
        <v>1209</v>
      </c>
      <c r="G341" s="37">
        <v>914</v>
      </c>
      <c r="H341">
        <v>4564</v>
      </c>
      <c r="I341" s="31">
        <v>3567</v>
      </c>
      <c r="J341" s="31">
        <v>3711</v>
      </c>
      <c r="K341" s="7">
        <v>1046.44</v>
      </c>
      <c r="L341" s="38">
        <v>399800</v>
      </c>
      <c r="M341" s="39">
        <v>201.375</v>
      </c>
      <c r="N341">
        <v>7</v>
      </c>
      <c r="O341" s="30">
        <f>Rådatakommune[[#This Row],[B17-O]]/Rådatakommune[[#This Row],[Totalareal2017-O]]</f>
        <v>7.6029203776614036</v>
      </c>
      <c r="P341" s="32">
        <f>Rådatakommune[[#This Row],[B17-O]]/Rådatakommune[[#This Row],[B07-O]]-1</f>
        <v>5.4054054054053946E-2</v>
      </c>
      <c r="Q341" s="32">
        <f>Rådatakommune[[#This Row],[Kvinner20-39-O]]/Rådatakommune[[#This Row],[B17-O]]</f>
        <v>0.11488185017596782</v>
      </c>
      <c r="R341" s="32">
        <f>Rådatakommune[[#This Row],[Eldre67+-O]]/Rådatakommune[[#This Row],[B17-O]]</f>
        <v>0.15196078431372548</v>
      </c>
      <c r="S341" s="32">
        <f>Rådatakommune[[#This Row],[S16-O]]/Rådatakommune[[#This Row],[S06-O]]-1</f>
        <v>4.037005887300249E-2</v>
      </c>
      <c r="T341" s="32">
        <f>Rådatakommune[[#This Row],[Y16-O]]/Rådatakommune[[#This Row],[Folk20-64-O]]</f>
        <v>0.83851884312007008</v>
      </c>
    </row>
    <row r="342" spans="1:20" x14ac:dyDescent="0.25">
      <c r="A342" s="2" t="s">
        <v>290</v>
      </c>
      <c r="B342" s="2">
        <v>341</v>
      </c>
      <c r="C342" s="35">
        <v>1299</v>
      </c>
      <c r="D342" s="34">
        <v>1234</v>
      </c>
      <c r="E342" s="31">
        <v>565</v>
      </c>
      <c r="F342" s="36">
        <v>280</v>
      </c>
      <c r="G342" s="37">
        <v>110</v>
      </c>
      <c r="H342">
        <v>662</v>
      </c>
      <c r="I342" s="31">
        <v>489</v>
      </c>
      <c r="J342" s="31">
        <v>442</v>
      </c>
      <c r="K342" s="7">
        <v>164.79</v>
      </c>
      <c r="L342" s="38">
        <v>360800</v>
      </c>
      <c r="M342" s="39">
        <v>284.625</v>
      </c>
      <c r="N342">
        <v>9</v>
      </c>
      <c r="O342" s="30">
        <f>Rådatakommune[[#This Row],[B17-O]]/Rådatakommune[[#This Row],[Totalareal2017-O]]</f>
        <v>7.4883184659263309</v>
      </c>
      <c r="P342" s="32">
        <f>Rådatakommune[[#This Row],[B17-O]]/Rådatakommune[[#This Row],[B07-O]]-1</f>
        <v>-5.0038491147036179E-2</v>
      </c>
      <c r="Q342" s="32">
        <f>Rådatakommune[[#This Row],[Kvinner20-39-O]]/Rådatakommune[[#This Row],[B17-O]]</f>
        <v>8.9141004862236625E-2</v>
      </c>
      <c r="R342" s="32">
        <f>Rådatakommune[[#This Row],[Eldre67+-O]]/Rådatakommune[[#This Row],[B17-O]]</f>
        <v>0.22690437601296595</v>
      </c>
      <c r="S342" s="32">
        <f>Rådatakommune[[#This Row],[S16-O]]/Rådatakommune[[#This Row],[S06-O]]-1</f>
        <v>-9.61145194274029E-2</v>
      </c>
      <c r="T342" s="32">
        <f>Rådatakommune[[#This Row],[Y16-O]]/Rådatakommune[[#This Row],[Folk20-64-O]]</f>
        <v>0.8534743202416919</v>
      </c>
    </row>
    <row r="343" spans="1:20" x14ac:dyDescent="0.25">
      <c r="A343" s="2" t="s">
        <v>291</v>
      </c>
      <c r="B343" s="2">
        <v>342</v>
      </c>
      <c r="C343" s="35">
        <v>504</v>
      </c>
      <c r="D343" s="34">
        <v>528</v>
      </c>
      <c r="E343" s="31">
        <v>235</v>
      </c>
      <c r="F343" s="36">
        <v>107</v>
      </c>
      <c r="G343" s="37">
        <v>47</v>
      </c>
      <c r="H343">
        <v>279</v>
      </c>
      <c r="I343" s="31">
        <v>188</v>
      </c>
      <c r="J343" s="31">
        <v>193</v>
      </c>
      <c r="K343" s="7">
        <v>538.9</v>
      </c>
      <c r="L343" s="38">
        <v>360800</v>
      </c>
      <c r="M343" s="39">
        <v>252.8125</v>
      </c>
      <c r="N343">
        <v>7</v>
      </c>
      <c r="O343" s="30">
        <f>Rådatakommune[[#This Row],[B17-O]]/Rådatakommune[[#This Row],[Totalareal2017-O]]</f>
        <v>0.97977361291519771</v>
      </c>
      <c r="P343" s="32">
        <f>Rådatakommune[[#This Row],[B17-O]]/Rådatakommune[[#This Row],[B07-O]]-1</f>
        <v>4.7619047619047672E-2</v>
      </c>
      <c r="Q343" s="32">
        <f>Rådatakommune[[#This Row],[Kvinner20-39-O]]/Rådatakommune[[#This Row],[B17-O]]</f>
        <v>8.9015151515151519E-2</v>
      </c>
      <c r="R343" s="32">
        <f>Rådatakommune[[#This Row],[Eldre67+-O]]/Rådatakommune[[#This Row],[B17-O]]</f>
        <v>0.20265151515151514</v>
      </c>
      <c r="S343" s="32">
        <f>Rådatakommune[[#This Row],[S16-O]]/Rådatakommune[[#This Row],[S06-O]]-1</f>
        <v>2.659574468085113E-2</v>
      </c>
      <c r="T343" s="32">
        <f>Rådatakommune[[#This Row],[Y16-O]]/Rådatakommune[[#This Row],[Folk20-64-O]]</f>
        <v>0.8422939068100358</v>
      </c>
    </row>
    <row r="344" spans="1:20" x14ac:dyDescent="0.25">
      <c r="A344" s="2" t="s">
        <v>292</v>
      </c>
      <c r="B344" s="2">
        <v>343</v>
      </c>
      <c r="C344" s="35">
        <v>1682</v>
      </c>
      <c r="D344" s="34">
        <v>1788</v>
      </c>
      <c r="E344" s="31">
        <v>826</v>
      </c>
      <c r="F344" s="36">
        <v>329</v>
      </c>
      <c r="G344" s="37">
        <v>196</v>
      </c>
      <c r="H344">
        <v>1036</v>
      </c>
      <c r="I344" s="31">
        <v>828</v>
      </c>
      <c r="J344" s="31">
        <v>838</v>
      </c>
      <c r="K344" s="7">
        <v>64.400000000000006</v>
      </c>
      <c r="L344" s="38">
        <v>379500</v>
      </c>
      <c r="M344" s="39">
        <v>251.125</v>
      </c>
      <c r="N344">
        <v>9</v>
      </c>
      <c r="O344" s="30">
        <f>Rådatakommune[[#This Row],[B17-O]]/Rådatakommune[[#This Row],[Totalareal2017-O]]</f>
        <v>27.7639751552795</v>
      </c>
      <c r="P344" s="32">
        <f>Rådatakommune[[#This Row],[B17-O]]/Rådatakommune[[#This Row],[B07-O]]-1</f>
        <v>6.3020214030915511E-2</v>
      </c>
      <c r="Q344" s="32">
        <f>Rådatakommune[[#This Row],[Kvinner20-39-O]]/Rådatakommune[[#This Row],[B17-O]]</f>
        <v>0.10961968680089486</v>
      </c>
      <c r="R344" s="32">
        <f>Rådatakommune[[#This Row],[Eldre67+-O]]/Rådatakommune[[#This Row],[B17-O]]</f>
        <v>0.18400447427293065</v>
      </c>
      <c r="S344" s="32">
        <f>Rådatakommune[[#This Row],[S16-O]]/Rådatakommune[[#This Row],[S06-O]]-1</f>
        <v>1.2077294685990392E-2</v>
      </c>
      <c r="T344" s="32">
        <f>Rådatakommune[[#This Row],[Y16-O]]/Rådatakommune[[#This Row],[Folk20-64-O]]</f>
        <v>0.79729729729729726</v>
      </c>
    </row>
    <row r="345" spans="1:20" x14ac:dyDescent="0.25">
      <c r="A345" s="2" t="s">
        <v>293</v>
      </c>
      <c r="B345" s="2">
        <v>344</v>
      </c>
      <c r="C345" s="35">
        <v>7225</v>
      </c>
      <c r="D345" s="34">
        <v>7428</v>
      </c>
      <c r="E345" s="31">
        <v>3609</v>
      </c>
      <c r="F345" s="36">
        <v>1247</v>
      </c>
      <c r="G345" s="37">
        <v>871</v>
      </c>
      <c r="H345">
        <v>4250</v>
      </c>
      <c r="I345" s="31">
        <v>3573</v>
      </c>
      <c r="J345" s="31">
        <v>3916</v>
      </c>
      <c r="K345" s="7">
        <v>187.60999999999999</v>
      </c>
      <c r="L345" s="38">
        <v>392500</v>
      </c>
      <c r="M345" s="39">
        <v>213.90625</v>
      </c>
      <c r="N345">
        <v>7</v>
      </c>
      <c r="O345" s="30">
        <f>Rådatakommune[[#This Row],[B17-O]]/Rådatakommune[[#This Row],[Totalareal2017-O]]</f>
        <v>39.592772240285704</v>
      </c>
      <c r="P345" s="32">
        <f>Rådatakommune[[#This Row],[B17-O]]/Rådatakommune[[#This Row],[B07-O]]-1</f>
        <v>2.8096885813148731E-2</v>
      </c>
      <c r="Q345" s="32">
        <f>Rådatakommune[[#This Row],[Kvinner20-39-O]]/Rådatakommune[[#This Row],[B17-O]]</f>
        <v>0.11725901992460959</v>
      </c>
      <c r="R345" s="32">
        <f>Rådatakommune[[#This Row],[Eldre67+-O]]/Rådatakommune[[#This Row],[B17-O]]</f>
        <v>0.16787829833064083</v>
      </c>
      <c r="S345" s="32">
        <f>Rådatakommune[[#This Row],[S16-O]]/Rådatakommune[[#This Row],[S06-O]]-1</f>
        <v>9.5997760985166547E-2</v>
      </c>
      <c r="T345" s="32">
        <f>Rådatakommune[[#This Row],[Y16-O]]/Rådatakommune[[#This Row],[Folk20-64-O]]</f>
        <v>0.84917647058823531</v>
      </c>
    </row>
    <row r="346" spans="1:20" x14ac:dyDescent="0.25">
      <c r="A346" s="2" t="s">
        <v>294</v>
      </c>
      <c r="B346" s="2">
        <v>345</v>
      </c>
      <c r="C346" s="35">
        <v>2123</v>
      </c>
      <c r="D346" s="34">
        <v>2278</v>
      </c>
      <c r="E346" s="31">
        <v>1056</v>
      </c>
      <c r="F346" s="36">
        <v>365</v>
      </c>
      <c r="G346" s="37">
        <v>272</v>
      </c>
      <c r="H346">
        <v>1311</v>
      </c>
      <c r="I346" s="31">
        <v>722</v>
      </c>
      <c r="J346" s="31">
        <v>644</v>
      </c>
      <c r="K346" s="7">
        <v>465.22</v>
      </c>
      <c r="L346" s="38">
        <v>360400</v>
      </c>
      <c r="M346" s="39">
        <v>226.78125</v>
      </c>
      <c r="N346">
        <v>7</v>
      </c>
      <c r="O346" s="30">
        <f>Rådatakommune[[#This Row],[B17-O]]/Rådatakommune[[#This Row],[Totalareal2017-O]]</f>
        <v>4.896608056403422</v>
      </c>
      <c r="P346" s="32">
        <f>Rådatakommune[[#This Row],[B17-O]]/Rådatakommune[[#This Row],[B07-O]]-1</f>
        <v>7.30098916627413E-2</v>
      </c>
      <c r="Q346" s="32">
        <f>Rådatakommune[[#This Row],[Kvinner20-39-O]]/Rådatakommune[[#This Row],[B17-O]]</f>
        <v>0.11940298507462686</v>
      </c>
      <c r="R346" s="32">
        <f>Rådatakommune[[#This Row],[Eldre67+-O]]/Rådatakommune[[#This Row],[B17-O]]</f>
        <v>0.16022827041264268</v>
      </c>
      <c r="S346" s="32">
        <f>Rådatakommune[[#This Row],[S16-O]]/Rådatakommune[[#This Row],[S06-O]]-1</f>
        <v>-0.10803324099722988</v>
      </c>
      <c r="T346" s="32">
        <f>Rådatakommune[[#This Row],[Y16-O]]/Rådatakommune[[#This Row],[Folk20-64-O]]</f>
        <v>0.80549199084668188</v>
      </c>
    </row>
    <row r="347" spans="1:20" x14ac:dyDescent="0.25">
      <c r="A347" s="2" t="s">
        <v>295</v>
      </c>
      <c r="B347" s="2">
        <v>346</v>
      </c>
      <c r="C347" s="35">
        <v>13571</v>
      </c>
      <c r="D347" s="34">
        <v>13465</v>
      </c>
      <c r="E347" s="31">
        <v>6600</v>
      </c>
      <c r="F347" s="36">
        <v>2461</v>
      </c>
      <c r="G347" s="37">
        <v>1538</v>
      </c>
      <c r="H347">
        <v>7675</v>
      </c>
      <c r="I347" s="31">
        <v>6579</v>
      </c>
      <c r="J347" s="31">
        <v>6794</v>
      </c>
      <c r="K347" s="7">
        <v>1929.1000000000001</v>
      </c>
      <c r="L347" s="38">
        <v>394700</v>
      </c>
      <c r="M347" s="39">
        <v>206.15625</v>
      </c>
      <c r="N347">
        <v>6</v>
      </c>
      <c r="O347" s="30">
        <f>Rådatakommune[[#This Row],[B17-O]]/Rådatakommune[[#This Row],[Totalareal2017-O]]</f>
        <v>6.9799388315794921</v>
      </c>
      <c r="P347" s="32">
        <f>Rådatakommune[[#This Row],[B17-O]]/Rådatakommune[[#This Row],[B07-O]]-1</f>
        <v>-7.8107729717780128E-3</v>
      </c>
      <c r="Q347" s="32">
        <f>Rådatakommune[[#This Row],[Kvinner20-39-O]]/Rådatakommune[[#This Row],[B17-O]]</f>
        <v>0.11422205718529521</v>
      </c>
      <c r="R347" s="32">
        <f>Rådatakommune[[#This Row],[Eldre67+-O]]/Rådatakommune[[#This Row],[B17-O]]</f>
        <v>0.18277014481990345</v>
      </c>
      <c r="S347" s="32">
        <f>Rådatakommune[[#This Row],[S16-O]]/Rådatakommune[[#This Row],[S06-O]]-1</f>
        <v>3.2679738562091609E-2</v>
      </c>
      <c r="T347" s="32">
        <f>Rådatakommune[[#This Row],[Y16-O]]/Rådatakommune[[#This Row],[Folk20-64-O]]</f>
        <v>0.85993485342019549</v>
      </c>
    </row>
    <row r="348" spans="1:20" x14ac:dyDescent="0.25">
      <c r="A348" s="2" t="s">
        <v>296</v>
      </c>
      <c r="B348" s="2">
        <v>347</v>
      </c>
      <c r="C348" s="35">
        <v>1540</v>
      </c>
      <c r="D348" s="34">
        <v>1469</v>
      </c>
      <c r="E348" s="31">
        <v>708</v>
      </c>
      <c r="F348" s="36">
        <v>319</v>
      </c>
      <c r="G348" s="37">
        <v>136</v>
      </c>
      <c r="H348">
        <v>797</v>
      </c>
      <c r="I348" s="31">
        <v>554</v>
      </c>
      <c r="J348" s="31">
        <v>541</v>
      </c>
      <c r="K348" s="7">
        <v>2004.15</v>
      </c>
      <c r="L348" s="38">
        <v>368600</v>
      </c>
      <c r="M348" s="39">
        <v>230.65625</v>
      </c>
      <c r="N348">
        <v>6</v>
      </c>
      <c r="O348" s="30">
        <f>Rådatakommune[[#This Row],[B17-O]]/Rådatakommune[[#This Row],[Totalareal2017-O]]</f>
        <v>0.73297906843300153</v>
      </c>
      <c r="P348" s="32">
        <f>Rådatakommune[[#This Row],[B17-O]]/Rådatakommune[[#This Row],[B07-O]]-1</f>
        <v>-4.6103896103896091E-2</v>
      </c>
      <c r="Q348" s="32">
        <f>Rådatakommune[[#This Row],[Kvinner20-39-O]]/Rådatakommune[[#This Row],[B17-O]]</f>
        <v>9.2579986385296117E-2</v>
      </c>
      <c r="R348" s="32">
        <f>Rådatakommune[[#This Row],[Eldre67+-O]]/Rådatakommune[[#This Row],[B17-O]]</f>
        <v>0.21715452688904016</v>
      </c>
      <c r="S348" s="32">
        <f>Rådatakommune[[#This Row],[S16-O]]/Rådatakommune[[#This Row],[S06-O]]-1</f>
        <v>-2.3465703971119134E-2</v>
      </c>
      <c r="T348" s="32">
        <f>Rådatakommune[[#This Row],[Y16-O]]/Rådatakommune[[#This Row],[Folk20-64-O]]</f>
        <v>0.88833124215809289</v>
      </c>
    </row>
    <row r="349" spans="1:20" x14ac:dyDescent="0.25">
      <c r="A349" s="2" t="s">
        <v>297</v>
      </c>
      <c r="B349" s="2">
        <v>348</v>
      </c>
      <c r="C349" s="35">
        <v>1482</v>
      </c>
      <c r="D349" s="34">
        <v>1414</v>
      </c>
      <c r="E349" s="31">
        <v>689</v>
      </c>
      <c r="F349" s="36">
        <v>335</v>
      </c>
      <c r="G349" s="37">
        <v>115</v>
      </c>
      <c r="H349">
        <v>725</v>
      </c>
      <c r="I349" s="31">
        <v>669</v>
      </c>
      <c r="J349" s="31">
        <v>611</v>
      </c>
      <c r="K349" s="7">
        <v>2684.31</v>
      </c>
      <c r="L349" s="38">
        <v>311000</v>
      </c>
      <c r="M349" s="39">
        <v>256.5</v>
      </c>
      <c r="N349">
        <v>11</v>
      </c>
      <c r="O349" s="30">
        <f>Rådatakommune[[#This Row],[B17-O]]/Rådatakommune[[#This Row],[Totalareal2017-O]]</f>
        <v>0.52676479244200558</v>
      </c>
      <c r="P349" s="32">
        <f>Rådatakommune[[#This Row],[B17-O]]/Rådatakommune[[#This Row],[B07-O]]-1</f>
        <v>-4.5883940620782715E-2</v>
      </c>
      <c r="Q349" s="32">
        <f>Rådatakommune[[#This Row],[Kvinner20-39-O]]/Rådatakommune[[#This Row],[B17-O]]</f>
        <v>8.1329561527581334E-2</v>
      </c>
      <c r="R349" s="32">
        <f>Rådatakommune[[#This Row],[Eldre67+-O]]/Rådatakommune[[#This Row],[B17-O]]</f>
        <v>0.23691654879773691</v>
      </c>
      <c r="S349" s="32">
        <f>Rådatakommune[[#This Row],[S16-O]]/Rådatakommune[[#This Row],[S06-O]]-1</f>
        <v>-8.6696562032884894E-2</v>
      </c>
      <c r="T349" s="32">
        <f>Rådatakommune[[#This Row],[Y16-O]]/Rådatakommune[[#This Row],[Folk20-64-O]]</f>
        <v>0.95034482758620686</v>
      </c>
    </row>
    <row r="350" spans="1:20" x14ac:dyDescent="0.25">
      <c r="A350" s="2" t="s">
        <v>298</v>
      </c>
      <c r="B350" s="2">
        <v>349</v>
      </c>
      <c r="C350" s="35">
        <v>1489</v>
      </c>
      <c r="D350" s="34">
        <v>1410</v>
      </c>
      <c r="E350" s="31">
        <v>645</v>
      </c>
      <c r="F350" s="36">
        <v>284</v>
      </c>
      <c r="G350" s="37">
        <v>120</v>
      </c>
      <c r="H350">
        <v>761</v>
      </c>
      <c r="I350" s="31">
        <v>570</v>
      </c>
      <c r="J350" s="31">
        <v>527</v>
      </c>
      <c r="K350" s="7">
        <v>191.94</v>
      </c>
      <c r="L350" s="38">
        <v>379900</v>
      </c>
      <c r="M350" s="39">
        <v>260.5625</v>
      </c>
      <c r="N350">
        <v>7</v>
      </c>
      <c r="O350" s="30">
        <f>Rådatakommune[[#This Row],[B17-O]]/Rådatakommune[[#This Row],[Totalareal2017-O]]</f>
        <v>7.3460456392622699</v>
      </c>
      <c r="P350" s="32">
        <f>Rådatakommune[[#This Row],[B17-O]]/Rådatakommune[[#This Row],[B07-O]]-1</f>
        <v>-5.3055742108797821E-2</v>
      </c>
      <c r="Q350" s="32">
        <f>Rådatakommune[[#This Row],[Kvinner20-39-O]]/Rådatakommune[[#This Row],[B17-O]]</f>
        <v>8.5106382978723402E-2</v>
      </c>
      <c r="R350" s="32">
        <f>Rådatakommune[[#This Row],[Eldre67+-O]]/Rådatakommune[[#This Row],[B17-O]]</f>
        <v>0.20141843971631207</v>
      </c>
      <c r="S350" s="32">
        <f>Rådatakommune[[#This Row],[S16-O]]/Rådatakommune[[#This Row],[S06-O]]-1</f>
        <v>-7.5438596491228083E-2</v>
      </c>
      <c r="T350" s="32">
        <f>Rådatakommune[[#This Row],[Y16-O]]/Rådatakommune[[#This Row],[Folk20-64-O]]</f>
        <v>0.84756898817345594</v>
      </c>
    </row>
    <row r="351" spans="1:20" x14ac:dyDescent="0.25">
      <c r="A351" s="2" t="s">
        <v>299</v>
      </c>
      <c r="B351" s="2">
        <v>350</v>
      </c>
      <c r="C351" s="35">
        <v>1776</v>
      </c>
      <c r="D351" s="34">
        <v>1837</v>
      </c>
      <c r="E351" s="31">
        <v>853</v>
      </c>
      <c r="F351" s="36">
        <v>296</v>
      </c>
      <c r="G351" s="37">
        <v>219</v>
      </c>
      <c r="H351">
        <v>1047</v>
      </c>
      <c r="I351" s="31">
        <v>836</v>
      </c>
      <c r="J351" s="31">
        <v>849</v>
      </c>
      <c r="K351" s="7">
        <v>183.18</v>
      </c>
      <c r="L351" s="38">
        <v>330800</v>
      </c>
      <c r="M351" s="39">
        <v>278.1875</v>
      </c>
      <c r="N351">
        <v>5</v>
      </c>
      <c r="O351" s="30">
        <f>Rådatakommune[[#This Row],[B17-O]]/Rådatakommune[[#This Row],[Totalareal2017-O]]</f>
        <v>10.028387378534774</v>
      </c>
      <c r="P351" s="32">
        <f>Rådatakommune[[#This Row],[B17-O]]/Rådatakommune[[#This Row],[B07-O]]-1</f>
        <v>3.4346846846846857E-2</v>
      </c>
      <c r="Q351" s="32">
        <f>Rådatakommune[[#This Row],[Kvinner20-39-O]]/Rådatakommune[[#This Row],[B17-O]]</f>
        <v>0.11921611322808928</v>
      </c>
      <c r="R351" s="32">
        <f>Rådatakommune[[#This Row],[Eldre67+-O]]/Rådatakommune[[#This Row],[B17-O]]</f>
        <v>0.16113228089275994</v>
      </c>
      <c r="S351" s="32">
        <f>Rådatakommune[[#This Row],[S16-O]]/Rådatakommune[[#This Row],[S06-O]]-1</f>
        <v>1.5550239234449759E-2</v>
      </c>
      <c r="T351" s="32">
        <f>Rådatakommune[[#This Row],[Y16-O]]/Rådatakommune[[#This Row],[Folk20-64-O]]</f>
        <v>0.81470869149952241</v>
      </c>
    </row>
    <row r="352" spans="1:20" x14ac:dyDescent="0.25">
      <c r="A352" s="2" t="s">
        <v>300</v>
      </c>
      <c r="B352" s="2">
        <v>351</v>
      </c>
      <c r="C352" s="35">
        <v>4510</v>
      </c>
      <c r="D352" s="34">
        <v>4524</v>
      </c>
      <c r="E352" s="31">
        <v>2065</v>
      </c>
      <c r="F352" s="36">
        <v>937</v>
      </c>
      <c r="G352" s="37">
        <v>486</v>
      </c>
      <c r="H352">
        <v>2431</v>
      </c>
      <c r="I352" s="31">
        <v>1496</v>
      </c>
      <c r="J352" s="31">
        <v>1732</v>
      </c>
      <c r="K352" s="7">
        <v>1589.4199999999998</v>
      </c>
      <c r="L352" s="38">
        <v>371600</v>
      </c>
      <c r="M352" s="39">
        <v>245.3125</v>
      </c>
      <c r="N352">
        <v>5</v>
      </c>
      <c r="O352" s="30">
        <f>Rådatakommune[[#This Row],[B17-O]]/Rådatakommune[[#This Row],[Totalareal2017-O]]</f>
        <v>2.8463212995935625</v>
      </c>
      <c r="P352" s="32">
        <f>Rådatakommune[[#This Row],[B17-O]]/Rådatakommune[[#This Row],[B07-O]]-1</f>
        <v>3.1042128603104846E-3</v>
      </c>
      <c r="Q352" s="32">
        <f>Rådatakommune[[#This Row],[Kvinner20-39-O]]/Rådatakommune[[#This Row],[B17-O]]</f>
        <v>0.10742705570291777</v>
      </c>
      <c r="R352" s="32">
        <f>Rådatakommune[[#This Row],[Eldre67+-O]]/Rådatakommune[[#This Row],[B17-O]]</f>
        <v>0.20711759504862953</v>
      </c>
      <c r="S352" s="32">
        <f>Rådatakommune[[#This Row],[S16-O]]/Rådatakommune[[#This Row],[S06-O]]-1</f>
        <v>0.15775401069518713</v>
      </c>
      <c r="T352" s="32">
        <f>Rådatakommune[[#This Row],[Y16-O]]/Rådatakommune[[#This Row],[Folk20-64-O]]</f>
        <v>0.84944467297408477</v>
      </c>
    </row>
    <row r="353" spans="1:20" x14ac:dyDescent="0.25">
      <c r="A353" s="2" t="s">
        <v>301</v>
      </c>
      <c r="B353" s="2">
        <v>352</v>
      </c>
      <c r="C353" s="35">
        <v>25190</v>
      </c>
      <c r="D353" s="34">
        <v>26101</v>
      </c>
      <c r="E353" s="31">
        <v>12750</v>
      </c>
      <c r="F353" s="36">
        <v>4333</v>
      </c>
      <c r="G353" s="37">
        <v>3007</v>
      </c>
      <c r="H353">
        <v>15152</v>
      </c>
      <c r="I353" s="31">
        <v>11666</v>
      </c>
      <c r="J353" s="31">
        <v>12906</v>
      </c>
      <c r="K353" s="7">
        <v>4459.9799999999996</v>
      </c>
      <c r="L353" s="38">
        <v>401200</v>
      </c>
      <c r="M353" s="39">
        <v>227.40625</v>
      </c>
      <c r="N353">
        <v>5</v>
      </c>
      <c r="O353" s="30">
        <f>Rådatakommune[[#This Row],[B17-O]]/Rådatakommune[[#This Row],[Totalareal2017-O]]</f>
        <v>5.8522683958224038</v>
      </c>
      <c r="P353" s="32">
        <f>Rådatakommune[[#This Row],[B17-O]]/Rådatakommune[[#This Row],[B07-O]]-1</f>
        <v>3.616514489876943E-2</v>
      </c>
      <c r="Q353" s="32">
        <f>Rådatakommune[[#This Row],[Kvinner20-39-O]]/Rådatakommune[[#This Row],[B17-O]]</f>
        <v>0.11520631393433202</v>
      </c>
      <c r="R353" s="32">
        <f>Rådatakommune[[#This Row],[Eldre67+-O]]/Rådatakommune[[#This Row],[B17-O]]</f>
        <v>0.16600896517374814</v>
      </c>
      <c r="S353" s="32">
        <f>Rådatakommune[[#This Row],[S16-O]]/Rådatakommune[[#This Row],[S06-O]]-1</f>
        <v>0.10629178810217721</v>
      </c>
      <c r="T353" s="32">
        <f>Rådatakommune[[#This Row],[Y16-O]]/Rådatakommune[[#This Row],[Folk20-64-O]]</f>
        <v>0.84147307286166839</v>
      </c>
    </row>
    <row r="354" spans="1:20" x14ac:dyDescent="0.25">
      <c r="A354" s="2" t="s">
        <v>302</v>
      </c>
      <c r="B354" s="2">
        <v>353</v>
      </c>
      <c r="C354" s="35">
        <v>1970</v>
      </c>
      <c r="D354" s="34">
        <v>1920</v>
      </c>
      <c r="E354" s="31">
        <v>881</v>
      </c>
      <c r="F354" s="36">
        <v>404</v>
      </c>
      <c r="G354" s="37">
        <v>188</v>
      </c>
      <c r="H354">
        <v>1049</v>
      </c>
      <c r="I354" s="31">
        <v>843</v>
      </c>
      <c r="J354" s="31">
        <v>858</v>
      </c>
      <c r="K354" s="7">
        <v>265.19</v>
      </c>
      <c r="L354" s="38">
        <v>425100</v>
      </c>
      <c r="M354" s="39">
        <v>346.875</v>
      </c>
      <c r="N354">
        <v>11</v>
      </c>
      <c r="O354" s="30">
        <f>Rådatakommune[[#This Row],[B17-O]]/Rådatakommune[[#This Row],[Totalareal2017-O]]</f>
        <v>7.2400920095026207</v>
      </c>
      <c r="P354" s="32">
        <f>Rådatakommune[[#This Row],[B17-O]]/Rådatakommune[[#This Row],[B07-O]]-1</f>
        <v>-2.5380710659898442E-2</v>
      </c>
      <c r="Q354" s="32">
        <f>Rådatakommune[[#This Row],[Kvinner20-39-O]]/Rådatakommune[[#This Row],[B17-O]]</f>
        <v>9.7916666666666666E-2</v>
      </c>
      <c r="R354" s="32">
        <f>Rådatakommune[[#This Row],[Eldre67+-O]]/Rådatakommune[[#This Row],[B17-O]]</f>
        <v>0.21041666666666667</v>
      </c>
      <c r="S354" s="32">
        <f>Rådatakommune[[#This Row],[S16-O]]/Rådatakommune[[#This Row],[S06-O]]-1</f>
        <v>1.7793594306049876E-2</v>
      </c>
      <c r="T354" s="32">
        <f>Rådatakommune[[#This Row],[Y16-O]]/Rådatakommune[[#This Row],[Folk20-64-O]]</f>
        <v>0.83984747378455671</v>
      </c>
    </row>
    <row r="355" spans="1:20" x14ac:dyDescent="0.25">
      <c r="A355" s="2" t="s">
        <v>303</v>
      </c>
      <c r="B355" s="2">
        <v>354</v>
      </c>
      <c r="C355" s="35">
        <v>446</v>
      </c>
      <c r="D355" s="34">
        <v>465</v>
      </c>
      <c r="E355" s="31">
        <v>234</v>
      </c>
      <c r="F355" s="36">
        <v>69</v>
      </c>
      <c r="G355" s="37">
        <v>57</v>
      </c>
      <c r="H355">
        <v>276</v>
      </c>
      <c r="I355" s="31">
        <v>207</v>
      </c>
      <c r="J355" s="31">
        <v>221</v>
      </c>
      <c r="K355" s="7">
        <v>16.52</v>
      </c>
      <c r="L355" s="38">
        <v>371800</v>
      </c>
      <c r="M355" s="39">
        <v>575.75</v>
      </c>
      <c r="N355">
        <v>11</v>
      </c>
      <c r="O355" s="30">
        <f>Rådatakommune[[#This Row],[B17-O]]/Rådatakommune[[#This Row],[Totalareal2017-O]]</f>
        <v>28.147699757869251</v>
      </c>
      <c r="P355" s="32">
        <f>Rådatakommune[[#This Row],[B17-O]]/Rådatakommune[[#This Row],[B07-O]]-1</f>
        <v>4.2600896860986559E-2</v>
      </c>
      <c r="Q355" s="32">
        <f>Rådatakommune[[#This Row],[Kvinner20-39-O]]/Rådatakommune[[#This Row],[B17-O]]</f>
        <v>0.12258064516129032</v>
      </c>
      <c r="R355" s="32">
        <f>Rådatakommune[[#This Row],[Eldre67+-O]]/Rådatakommune[[#This Row],[B17-O]]</f>
        <v>0.14838709677419354</v>
      </c>
      <c r="S355" s="32">
        <f>Rådatakommune[[#This Row],[S16-O]]/Rådatakommune[[#This Row],[S06-O]]-1</f>
        <v>6.7632850241545972E-2</v>
      </c>
      <c r="T355" s="32">
        <f>Rådatakommune[[#This Row],[Y16-O]]/Rådatakommune[[#This Row],[Folk20-64-O]]</f>
        <v>0.84782608695652173</v>
      </c>
    </row>
    <row r="356" spans="1:20" x14ac:dyDescent="0.25">
      <c r="A356" s="2" t="s">
        <v>304</v>
      </c>
      <c r="B356" s="2">
        <v>355</v>
      </c>
      <c r="C356" s="35">
        <v>1343</v>
      </c>
      <c r="D356" s="34">
        <v>1267</v>
      </c>
      <c r="E356" s="31">
        <v>602</v>
      </c>
      <c r="F356" s="36">
        <v>238</v>
      </c>
      <c r="G356" s="37">
        <v>118</v>
      </c>
      <c r="H356">
        <v>665</v>
      </c>
      <c r="I356" s="31">
        <v>602</v>
      </c>
      <c r="J356" s="31">
        <v>507</v>
      </c>
      <c r="K356" s="7">
        <v>711.29</v>
      </c>
      <c r="L356" s="38">
        <v>376100</v>
      </c>
      <c r="M356" s="39">
        <v>352.375</v>
      </c>
      <c r="N356">
        <v>11</v>
      </c>
      <c r="O356" s="30">
        <f>Rådatakommune[[#This Row],[B17-O]]/Rådatakommune[[#This Row],[Totalareal2017-O]]</f>
        <v>1.7812706491023353</v>
      </c>
      <c r="P356" s="32">
        <f>Rådatakommune[[#This Row],[B17-O]]/Rådatakommune[[#This Row],[B07-O]]-1</f>
        <v>-5.6589724497393856E-2</v>
      </c>
      <c r="Q356" s="32">
        <f>Rådatakommune[[#This Row],[Kvinner20-39-O]]/Rådatakommune[[#This Row],[B17-O]]</f>
        <v>9.3133385951065503E-2</v>
      </c>
      <c r="R356" s="32">
        <f>Rådatakommune[[#This Row],[Eldre67+-O]]/Rådatakommune[[#This Row],[B17-O]]</f>
        <v>0.18784530386740331</v>
      </c>
      <c r="S356" s="32">
        <f>Rådatakommune[[#This Row],[S16-O]]/Rådatakommune[[#This Row],[S06-O]]-1</f>
        <v>-0.15780730897009965</v>
      </c>
      <c r="T356" s="32">
        <f>Rådatakommune[[#This Row],[Y16-O]]/Rådatakommune[[#This Row],[Folk20-64-O]]</f>
        <v>0.90526315789473688</v>
      </c>
    </row>
    <row r="357" spans="1:20" x14ac:dyDescent="0.25">
      <c r="A357" s="2" t="s">
        <v>305</v>
      </c>
      <c r="B357" s="2">
        <v>356</v>
      </c>
      <c r="C357" s="35">
        <v>6663</v>
      </c>
      <c r="D357" s="34">
        <v>6435</v>
      </c>
      <c r="E357" s="31">
        <v>3015</v>
      </c>
      <c r="F357" s="36">
        <v>1159</v>
      </c>
      <c r="G357" s="37">
        <v>657</v>
      </c>
      <c r="H357">
        <v>3552</v>
      </c>
      <c r="I357" s="31">
        <v>2959</v>
      </c>
      <c r="J357" s="31">
        <v>2856</v>
      </c>
      <c r="K357" s="7">
        <v>873.83</v>
      </c>
      <c r="L357" s="38">
        <v>401300</v>
      </c>
      <c r="M357" s="39">
        <v>281.4375</v>
      </c>
      <c r="N357">
        <v>10</v>
      </c>
      <c r="O357" s="30">
        <f>Rådatakommune[[#This Row],[B17-O]]/Rådatakommune[[#This Row],[Totalareal2017-O]]</f>
        <v>7.3641326116063759</v>
      </c>
      <c r="P357" s="32">
        <f>Rådatakommune[[#This Row],[B17-O]]/Rådatakommune[[#This Row],[B07-O]]-1</f>
        <v>-3.4218820351193169E-2</v>
      </c>
      <c r="Q357" s="32">
        <f>Rådatakommune[[#This Row],[Kvinner20-39-O]]/Rådatakommune[[#This Row],[B17-O]]</f>
        <v>0.10209790209790209</v>
      </c>
      <c r="R357" s="32">
        <f>Rådatakommune[[#This Row],[Eldre67+-O]]/Rådatakommune[[#This Row],[B17-O]]</f>
        <v>0.18010878010878012</v>
      </c>
      <c r="S357" s="32">
        <f>Rådatakommune[[#This Row],[S16-O]]/Rådatakommune[[#This Row],[S06-O]]-1</f>
        <v>-3.4809057113889819E-2</v>
      </c>
      <c r="T357" s="32">
        <f>Rådatakommune[[#This Row],[Y16-O]]/Rådatakommune[[#This Row],[Folk20-64-O]]</f>
        <v>0.84881756756756754</v>
      </c>
    </row>
    <row r="358" spans="1:20" x14ac:dyDescent="0.25">
      <c r="A358" s="2" t="s">
        <v>306</v>
      </c>
      <c r="B358" s="2">
        <v>357</v>
      </c>
      <c r="C358" s="35">
        <v>2081</v>
      </c>
      <c r="D358" s="34">
        <v>2024</v>
      </c>
      <c r="E358" s="31">
        <v>925</v>
      </c>
      <c r="F358" s="36">
        <v>437</v>
      </c>
      <c r="G358" s="37">
        <v>202</v>
      </c>
      <c r="H358">
        <v>1107</v>
      </c>
      <c r="I358" s="31">
        <v>782</v>
      </c>
      <c r="J358" s="31">
        <v>803</v>
      </c>
      <c r="K358" s="7">
        <v>664.68</v>
      </c>
      <c r="L358" s="38">
        <v>377000</v>
      </c>
      <c r="M358" s="39">
        <v>258.625</v>
      </c>
      <c r="N358">
        <v>8</v>
      </c>
      <c r="O358" s="30">
        <f>Rådatakommune[[#This Row],[B17-O]]/Rådatakommune[[#This Row],[Totalareal2017-O]]</f>
        <v>3.0450743214780047</v>
      </c>
      <c r="P358" s="32">
        <f>Rådatakommune[[#This Row],[B17-O]]/Rådatakommune[[#This Row],[B07-O]]-1</f>
        <v>-2.7390677558865928E-2</v>
      </c>
      <c r="Q358" s="32">
        <f>Rådatakommune[[#This Row],[Kvinner20-39-O]]/Rådatakommune[[#This Row],[B17-O]]</f>
        <v>9.9802371541501983E-2</v>
      </c>
      <c r="R358" s="32">
        <f>Rådatakommune[[#This Row],[Eldre67+-O]]/Rådatakommune[[#This Row],[B17-O]]</f>
        <v>0.21590909090909091</v>
      </c>
      <c r="S358" s="32">
        <f>Rådatakommune[[#This Row],[S16-O]]/Rådatakommune[[#This Row],[S06-O]]-1</f>
        <v>2.6854219948849067E-2</v>
      </c>
      <c r="T358" s="32">
        <f>Rådatakommune[[#This Row],[Y16-O]]/Rådatakommune[[#This Row],[Folk20-64-O]]</f>
        <v>0.83559168925022587</v>
      </c>
    </row>
    <row r="359" spans="1:20" x14ac:dyDescent="0.25">
      <c r="A359" s="2" t="s">
        <v>307</v>
      </c>
      <c r="B359" s="2">
        <v>358</v>
      </c>
      <c r="C359" s="35">
        <v>1148</v>
      </c>
      <c r="D359" s="34">
        <v>1043</v>
      </c>
      <c r="E359" s="31">
        <v>474</v>
      </c>
      <c r="F359" s="36">
        <v>264</v>
      </c>
      <c r="G359" s="37">
        <v>89</v>
      </c>
      <c r="H359">
        <v>557</v>
      </c>
      <c r="I359" s="31">
        <v>429</v>
      </c>
      <c r="J359" s="31">
        <v>431</v>
      </c>
      <c r="K359" s="7">
        <v>1222.3200000000002</v>
      </c>
      <c r="L359" s="38">
        <v>334200</v>
      </c>
      <c r="M359" s="39">
        <v>273.5625</v>
      </c>
      <c r="N359">
        <v>11</v>
      </c>
      <c r="O359" s="30">
        <f>Rådatakommune[[#This Row],[B17-O]]/Rådatakommune[[#This Row],[Totalareal2017-O]]</f>
        <v>0.8532953727338175</v>
      </c>
      <c r="P359" s="32">
        <f>Rådatakommune[[#This Row],[B17-O]]/Rådatakommune[[#This Row],[B07-O]]-1</f>
        <v>-9.1463414634146312E-2</v>
      </c>
      <c r="Q359" s="32">
        <f>Rådatakommune[[#This Row],[Kvinner20-39-O]]/Rådatakommune[[#This Row],[B17-O]]</f>
        <v>8.5330776605944389E-2</v>
      </c>
      <c r="R359" s="32">
        <f>Rådatakommune[[#This Row],[Eldre67+-O]]/Rådatakommune[[#This Row],[B17-O]]</f>
        <v>0.25311601150527324</v>
      </c>
      <c r="S359" s="32">
        <f>Rådatakommune[[#This Row],[S16-O]]/Rådatakommune[[#This Row],[S06-O]]-1</f>
        <v>4.6620046620047262E-3</v>
      </c>
      <c r="T359" s="32">
        <f>Rådatakommune[[#This Row],[Y16-O]]/Rådatakommune[[#This Row],[Folk20-64-O]]</f>
        <v>0.85098743267504484</v>
      </c>
    </row>
    <row r="360" spans="1:20" x14ac:dyDescent="0.25">
      <c r="A360" s="2" t="s">
        <v>308</v>
      </c>
      <c r="B360" s="2">
        <v>359</v>
      </c>
      <c r="C360" s="35">
        <v>4688</v>
      </c>
      <c r="D360" s="34">
        <v>4702</v>
      </c>
      <c r="E360" s="31">
        <v>2213</v>
      </c>
      <c r="F360" s="36">
        <v>932</v>
      </c>
      <c r="G360" s="37">
        <v>477</v>
      </c>
      <c r="H360">
        <v>2607</v>
      </c>
      <c r="I360" s="31">
        <v>2086</v>
      </c>
      <c r="J360" s="31">
        <v>2084</v>
      </c>
      <c r="K360" s="7">
        <v>2216.17</v>
      </c>
      <c r="L360" s="38">
        <v>373500</v>
      </c>
      <c r="M360" s="39">
        <v>257.25</v>
      </c>
      <c r="N360">
        <v>6</v>
      </c>
      <c r="O360" s="30">
        <f>Rådatakommune[[#This Row],[B17-O]]/Rådatakommune[[#This Row],[Totalareal2017-O]]</f>
        <v>2.1216783910981558</v>
      </c>
      <c r="P360" s="32">
        <f>Rådatakommune[[#This Row],[B17-O]]/Rådatakommune[[#This Row],[B07-O]]-1</f>
        <v>2.9863481228669109E-3</v>
      </c>
      <c r="Q360" s="32">
        <f>Rådatakommune[[#This Row],[Kvinner20-39-O]]/Rådatakommune[[#This Row],[B17-O]]</f>
        <v>0.10144619310931519</v>
      </c>
      <c r="R360" s="32">
        <f>Rådatakommune[[#This Row],[Eldre67+-O]]/Rådatakommune[[#This Row],[B17-O]]</f>
        <v>0.19821352615908125</v>
      </c>
      <c r="S360" s="32">
        <f>Rådatakommune[[#This Row],[S16-O]]/Rådatakommune[[#This Row],[S06-O]]-1</f>
        <v>-9.5877277085332224E-4</v>
      </c>
      <c r="T360" s="32">
        <f>Rådatakommune[[#This Row],[Y16-O]]/Rådatakommune[[#This Row],[Folk20-64-O]]</f>
        <v>0.84886843114691213</v>
      </c>
    </row>
    <row r="361" spans="1:20" x14ac:dyDescent="0.25">
      <c r="A361" s="2" t="s">
        <v>309</v>
      </c>
      <c r="B361" s="2">
        <v>360</v>
      </c>
      <c r="C361" s="35">
        <v>9465</v>
      </c>
      <c r="D361" s="34">
        <v>9729</v>
      </c>
      <c r="E361" s="31">
        <v>4742</v>
      </c>
      <c r="F361" s="36">
        <v>1806</v>
      </c>
      <c r="G361" s="37">
        <v>1043</v>
      </c>
      <c r="H361">
        <v>5551</v>
      </c>
      <c r="I361" s="31">
        <v>3550</v>
      </c>
      <c r="J361" s="31">
        <v>4059</v>
      </c>
      <c r="K361" s="7">
        <v>1201.3699999999999</v>
      </c>
      <c r="L361" s="38">
        <v>393200</v>
      </c>
      <c r="M361" s="39">
        <v>231.375</v>
      </c>
      <c r="N361">
        <v>5</v>
      </c>
      <c r="O361" s="30">
        <f>Rådatakommune[[#This Row],[B17-O]]/Rådatakommune[[#This Row],[Totalareal2017-O]]</f>
        <v>8.0982544927874009</v>
      </c>
      <c r="P361" s="32">
        <f>Rådatakommune[[#This Row],[B17-O]]/Rådatakommune[[#This Row],[B07-O]]-1</f>
        <v>2.7892234548335892E-2</v>
      </c>
      <c r="Q361" s="32">
        <f>Rådatakommune[[#This Row],[Kvinner20-39-O]]/Rådatakommune[[#This Row],[B17-O]]</f>
        <v>0.1072052626169185</v>
      </c>
      <c r="R361" s="32">
        <f>Rådatakommune[[#This Row],[Eldre67+-O]]/Rådatakommune[[#This Row],[B17-O]]</f>
        <v>0.18563058896083873</v>
      </c>
      <c r="S361" s="32">
        <f>Rådatakommune[[#This Row],[S16-O]]/Rådatakommune[[#This Row],[S06-O]]-1</f>
        <v>0.14338028169014083</v>
      </c>
      <c r="T361" s="32">
        <f>Rådatakommune[[#This Row],[Y16-O]]/Rådatakommune[[#This Row],[Folk20-64-O]]</f>
        <v>0.85426049360475587</v>
      </c>
    </row>
    <row r="362" spans="1:20" x14ac:dyDescent="0.25">
      <c r="A362" s="2" t="s">
        <v>310</v>
      </c>
      <c r="B362" s="2">
        <v>361</v>
      </c>
      <c r="C362" s="35">
        <v>2084</v>
      </c>
      <c r="D362" s="34">
        <v>1958</v>
      </c>
      <c r="E362" s="31">
        <v>896</v>
      </c>
      <c r="F362" s="36">
        <v>431</v>
      </c>
      <c r="G362" s="37">
        <v>177</v>
      </c>
      <c r="H362">
        <v>1025</v>
      </c>
      <c r="I362" s="31">
        <v>862</v>
      </c>
      <c r="J362" s="31">
        <v>898</v>
      </c>
      <c r="K362" s="7">
        <v>1637.3500000000001</v>
      </c>
      <c r="L362" s="38">
        <v>376200</v>
      </c>
      <c r="M362" s="39">
        <v>244.5625</v>
      </c>
      <c r="N362">
        <v>6</v>
      </c>
      <c r="O362" s="30">
        <f>Rådatakommune[[#This Row],[B17-O]]/Rådatakommune[[#This Row],[Totalareal2017-O]]</f>
        <v>1.1958347329526369</v>
      </c>
      <c r="P362" s="32">
        <f>Rådatakommune[[#This Row],[B17-O]]/Rådatakommune[[#This Row],[B07-O]]-1</f>
        <v>-6.0460652591170838E-2</v>
      </c>
      <c r="Q362" s="32">
        <f>Rådatakommune[[#This Row],[Kvinner20-39-O]]/Rådatakommune[[#This Row],[B17-O]]</f>
        <v>9.0398365679264556E-2</v>
      </c>
      <c r="R362" s="32">
        <f>Rådatakommune[[#This Row],[Eldre67+-O]]/Rådatakommune[[#This Row],[B17-O]]</f>
        <v>0.22012257405515834</v>
      </c>
      <c r="S362" s="32">
        <f>Rådatakommune[[#This Row],[S16-O]]/Rådatakommune[[#This Row],[S06-O]]-1</f>
        <v>4.1763341067285298E-2</v>
      </c>
      <c r="T362" s="32">
        <f>Rådatakommune[[#This Row],[Y16-O]]/Rådatakommune[[#This Row],[Folk20-64-O]]</f>
        <v>0.87414634146341463</v>
      </c>
    </row>
    <row r="363" spans="1:20" x14ac:dyDescent="0.25">
      <c r="A363" s="2" t="s">
        <v>311</v>
      </c>
      <c r="B363" s="2">
        <v>362</v>
      </c>
      <c r="C363" s="35">
        <v>2680</v>
      </c>
      <c r="D363" s="34">
        <v>2543</v>
      </c>
      <c r="E363" s="31">
        <v>1179</v>
      </c>
      <c r="F363" s="36">
        <v>585</v>
      </c>
      <c r="G363" s="37">
        <v>243</v>
      </c>
      <c r="H363">
        <v>1364</v>
      </c>
      <c r="I363" s="31">
        <v>1024</v>
      </c>
      <c r="J363" s="31">
        <v>1136</v>
      </c>
      <c r="K363" s="7">
        <v>1009.08</v>
      </c>
      <c r="L363" s="38">
        <v>374000</v>
      </c>
      <c r="M363" s="39">
        <v>351.625</v>
      </c>
      <c r="N363">
        <v>11</v>
      </c>
      <c r="O363" s="30">
        <f>Rådatakommune[[#This Row],[B17-O]]/Rådatakommune[[#This Row],[Totalareal2017-O]]</f>
        <v>2.5201173346018155</v>
      </c>
      <c r="P363" s="32">
        <f>Rådatakommune[[#This Row],[B17-O]]/Rådatakommune[[#This Row],[B07-O]]-1</f>
        <v>-5.1119402985074669E-2</v>
      </c>
      <c r="Q363" s="32">
        <f>Rådatakommune[[#This Row],[Kvinner20-39-O]]/Rådatakommune[[#This Row],[B17-O]]</f>
        <v>9.5556429414077868E-2</v>
      </c>
      <c r="R363" s="32">
        <f>Rådatakommune[[#This Row],[Eldre67+-O]]/Rådatakommune[[#This Row],[B17-O]]</f>
        <v>0.2300432559968541</v>
      </c>
      <c r="S363" s="32">
        <f>Rådatakommune[[#This Row],[S16-O]]/Rådatakommune[[#This Row],[S06-O]]-1</f>
        <v>0.109375</v>
      </c>
      <c r="T363" s="32">
        <f>Rådatakommune[[#This Row],[Y16-O]]/Rådatakommune[[#This Row],[Folk20-64-O]]</f>
        <v>0.86436950146627567</v>
      </c>
    </row>
    <row r="364" spans="1:20" x14ac:dyDescent="0.25">
      <c r="A364" s="2" t="s">
        <v>312</v>
      </c>
      <c r="B364" s="2">
        <v>363</v>
      </c>
      <c r="C364" s="35">
        <v>1771</v>
      </c>
      <c r="D364" s="34">
        <v>1810</v>
      </c>
      <c r="E364" s="31">
        <v>852</v>
      </c>
      <c r="F364" s="36">
        <v>402</v>
      </c>
      <c r="G364" s="37">
        <v>180</v>
      </c>
      <c r="H364">
        <v>973</v>
      </c>
      <c r="I364" s="31">
        <v>773</v>
      </c>
      <c r="J364" s="31">
        <v>803</v>
      </c>
      <c r="K364" s="7">
        <v>1033.5899999999999</v>
      </c>
      <c r="L364" s="38">
        <v>368600</v>
      </c>
      <c r="M364" s="39">
        <v>353.5625</v>
      </c>
      <c r="N364">
        <v>11</v>
      </c>
      <c r="O364" s="30">
        <f>Rådatakommune[[#This Row],[B17-O]]/Rådatakommune[[#This Row],[Totalareal2017-O]]</f>
        <v>1.7511779332230384</v>
      </c>
      <c r="P364" s="32">
        <f>Rådatakommune[[#This Row],[B17-O]]/Rådatakommune[[#This Row],[B07-O]]-1</f>
        <v>2.2021456804065531E-2</v>
      </c>
      <c r="Q364" s="32">
        <f>Rådatakommune[[#This Row],[Kvinner20-39-O]]/Rådatakommune[[#This Row],[B17-O]]</f>
        <v>9.9447513812154692E-2</v>
      </c>
      <c r="R364" s="32">
        <f>Rådatakommune[[#This Row],[Eldre67+-O]]/Rådatakommune[[#This Row],[B17-O]]</f>
        <v>0.22209944751381216</v>
      </c>
      <c r="S364" s="32">
        <f>Rådatakommune[[#This Row],[S16-O]]/Rådatakommune[[#This Row],[S06-O]]-1</f>
        <v>3.8809831824062169E-2</v>
      </c>
      <c r="T364" s="32">
        <f>Rådatakommune[[#This Row],[Y16-O]]/Rådatakommune[[#This Row],[Folk20-64-O]]</f>
        <v>0.87564234326824253</v>
      </c>
    </row>
    <row r="365" spans="1:20" x14ac:dyDescent="0.25">
      <c r="A365" s="2" t="s">
        <v>313</v>
      </c>
      <c r="B365" s="2">
        <v>364</v>
      </c>
      <c r="C365" s="35">
        <v>2052</v>
      </c>
      <c r="D365" s="34">
        <v>1960</v>
      </c>
      <c r="E365" s="31">
        <v>848</v>
      </c>
      <c r="F365" s="36">
        <v>422</v>
      </c>
      <c r="G365" s="37">
        <v>184</v>
      </c>
      <c r="H365">
        <v>1107</v>
      </c>
      <c r="I365" s="31">
        <v>815</v>
      </c>
      <c r="J365" s="31">
        <v>760</v>
      </c>
      <c r="K365" s="7">
        <v>1463.72</v>
      </c>
      <c r="L365" s="38">
        <v>361200</v>
      </c>
      <c r="M365" s="39">
        <v>336.75</v>
      </c>
      <c r="N365">
        <v>11</v>
      </c>
      <c r="O365" s="30">
        <f>Rådatakommune[[#This Row],[B17-O]]/Rådatakommune[[#This Row],[Totalareal2017-O]]</f>
        <v>1.3390539174158993</v>
      </c>
      <c r="P365" s="32">
        <f>Rådatakommune[[#This Row],[B17-O]]/Rådatakommune[[#This Row],[B07-O]]-1</f>
        <v>-4.4834307992202782E-2</v>
      </c>
      <c r="Q365" s="32">
        <f>Rådatakommune[[#This Row],[Kvinner20-39-O]]/Rådatakommune[[#This Row],[B17-O]]</f>
        <v>9.3877551020408165E-2</v>
      </c>
      <c r="R365" s="32">
        <f>Rådatakommune[[#This Row],[Eldre67+-O]]/Rådatakommune[[#This Row],[B17-O]]</f>
        <v>0.21530612244897959</v>
      </c>
      <c r="S365" s="32">
        <f>Rådatakommune[[#This Row],[S16-O]]/Rådatakommune[[#This Row],[S06-O]]-1</f>
        <v>-6.7484662576687171E-2</v>
      </c>
      <c r="T365" s="32">
        <f>Rådatakommune[[#This Row],[Y16-O]]/Rådatakommune[[#This Row],[Folk20-64-O]]</f>
        <v>0.76603432700993679</v>
      </c>
    </row>
    <row r="366" spans="1:20" x14ac:dyDescent="0.25">
      <c r="A366" s="2" t="s">
        <v>314</v>
      </c>
      <c r="B366" s="2">
        <v>365</v>
      </c>
      <c r="C366" s="35">
        <v>2257</v>
      </c>
      <c r="D366" s="34">
        <v>2134</v>
      </c>
      <c r="E366" s="31">
        <v>946</v>
      </c>
      <c r="F366" s="36">
        <v>500</v>
      </c>
      <c r="G366" s="37">
        <v>168</v>
      </c>
      <c r="H366">
        <v>1141</v>
      </c>
      <c r="I366" s="31">
        <v>933</v>
      </c>
      <c r="J366" s="31">
        <v>885</v>
      </c>
      <c r="K366" s="7">
        <v>527.49</v>
      </c>
      <c r="L366" s="38">
        <v>366900</v>
      </c>
      <c r="M366" s="39">
        <v>257.375</v>
      </c>
      <c r="N366">
        <v>11</v>
      </c>
      <c r="O366" s="30">
        <f>Rådatakommune[[#This Row],[B17-O]]/Rådatakommune[[#This Row],[Totalareal2017-O]]</f>
        <v>4.0455743236838613</v>
      </c>
      <c r="P366" s="32">
        <f>Rådatakommune[[#This Row],[B17-O]]/Rådatakommune[[#This Row],[B07-O]]-1</f>
        <v>-5.4497120070890581E-2</v>
      </c>
      <c r="Q366" s="32">
        <f>Rådatakommune[[#This Row],[Kvinner20-39-O]]/Rådatakommune[[#This Row],[B17-O]]</f>
        <v>7.8725398313027176E-2</v>
      </c>
      <c r="R366" s="32">
        <f>Rådatakommune[[#This Row],[Eldre67+-O]]/Rådatakommune[[#This Row],[B17-O]]</f>
        <v>0.23430178069353327</v>
      </c>
      <c r="S366" s="32">
        <f>Rådatakommune[[#This Row],[S16-O]]/Rådatakommune[[#This Row],[S06-O]]-1</f>
        <v>-5.144694533762062E-2</v>
      </c>
      <c r="T366" s="32">
        <f>Rådatakommune[[#This Row],[Y16-O]]/Rådatakommune[[#This Row],[Folk20-64-O]]</f>
        <v>0.82909728308501318</v>
      </c>
    </row>
    <row r="367" spans="1:20" x14ac:dyDescent="0.25">
      <c r="A367" s="2" t="s">
        <v>315</v>
      </c>
      <c r="B367" s="2">
        <v>366</v>
      </c>
      <c r="C367" s="35">
        <v>1352</v>
      </c>
      <c r="D367" s="34">
        <v>1252</v>
      </c>
      <c r="E367" s="31">
        <v>551</v>
      </c>
      <c r="F367" s="36">
        <v>325</v>
      </c>
      <c r="G367" s="37">
        <v>103</v>
      </c>
      <c r="H367">
        <v>655</v>
      </c>
      <c r="I367" s="31">
        <v>458</v>
      </c>
      <c r="J367" s="31">
        <v>466</v>
      </c>
      <c r="K367" s="7">
        <v>319.26000000000005</v>
      </c>
      <c r="L367" s="38">
        <v>374800</v>
      </c>
      <c r="M367" s="39">
        <v>223.0625</v>
      </c>
      <c r="N367">
        <v>5</v>
      </c>
      <c r="O367" s="30">
        <f>Rådatakommune[[#This Row],[B17-O]]/Rådatakommune[[#This Row],[Totalareal2017-O]]</f>
        <v>3.9215686274509798</v>
      </c>
      <c r="P367" s="32">
        <f>Rådatakommune[[#This Row],[B17-O]]/Rådatakommune[[#This Row],[B07-O]]-1</f>
        <v>-7.3964497041420163E-2</v>
      </c>
      <c r="Q367" s="32">
        <f>Rådatakommune[[#This Row],[Kvinner20-39-O]]/Rådatakommune[[#This Row],[B17-O]]</f>
        <v>8.2268370607028754E-2</v>
      </c>
      <c r="R367" s="32">
        <f>Rådatakommune[[#This Row],[Eldre67+-O]]/Rådatakommune[[#This Row],[B17-O]]</f>
        <v>0.25958466453674123</v>
      </c>
      <c r="S367" s="32">
        <f>Rådatakommune[[#This Row],[S16-O]]/Rådatakommune[[#This Row],[S06-O]]-1</f>
        <v>1.7467248908296984E-2</v>
      </c>
      <c r="T367" s="32">
        <f>Rådatakommune[[#This Row],[Y16-O]]/Rådatakommune[[#This Row],[Folk20-64-O]]</f>
        <v>0.84122137404580155</v>
      </c>
    </row>
    <row r="368" spans="1:20" x14ac:dyDescent="0.25">
      <c r="A368" s="2" t="s">
        <v>316</v>
      </c>
      <c r="B368" s="2">
        <v>367</v>
      </c>
      <c r="C368" s="35">
        <v>1361</v>
      </c>
      <c r="D368" s="34">
        <v>1402</v>
      </c>
      <c r="E368" s="31">
        <v>571</v>
      </c>
      <c r="F368" s="36">
        <v>332</v>
      </c>
      <c r="G368" s="37">
        <v>119</v>
      </c>
      <c r="H368">
        <v>734</v>
      </c>
      <c r="I368" s="31">
        <v>654</v>
      </c>
      <c r="J368" s="31">
        <v>624</v>
      </c>
      <c r="K368" s="7">
        <v>252.78</v>
      </c>
      <c r="L368" s="38">
        <v>357200</v>
      </c>
      <c r="M368" s="39">
        <v>211.0625</v>
      </c>
      <c r="N368">
        <v>5</v>
      </c>
      <c r="O368" s="30">
        <f>Rådatakommune[[#This Row],[B17-O]]/Rådatakommune[[#This Row],[Totalareal2017-O]]</f>
        <v>5.5463248674736922</v>
      </c>
      <c r="P368" s="32">
        <f>Rådatakommune[[#This Row],[B17-O]]/Rådatakommune[[#This Row],[B07-O]]-1</f>
        <v>3.0124908155767738E-2</v>
      </c>
      <c r="Q368" s="32">
        <f>Rådatakommune[[#This Row],[Kvinner20-39-O]]/Rådatakommune[[#This Row],[B17-O]]</f>
        <v>8.4878744650499285E-2</v>
      </c>
      <c r="R368" s="32">
        <f>Rådatakommune[[#This Row],[Eldre67+-O]]/Rådatakommune[[#This Row],[B17-O]]</f>
        <v>0.23680456490727533</v>
      </c>
      <c r="S368" s="32">
        <f>Rådatakommune[[#This Row],[S16-O]]/Rådatakommune[[#This Row],[S06-O]]-1</f>
        <v>-4.587155963302747E-2</v>
      </c>
      <c r="T368" s="32">
        <f>Rådatakommune[[#This Row],[Y16-O]]/Rådatakommune[[#This Row],[Folk20-64-O]]</f>
        <v>0.77792915531335149</v>
      </c>
    </row>
    <row r="369" spans="1:20" x14ac:dyDescent="0.25">
      <c r="A369" s="2" t="s">
        <v>317</v>
      </c>
      <c r="B369" s="2">
        <v>368</v>
      </c>
      <c r="C369" s="35">
        <v>2684</v>
      </c>
      <c r="D369" s="34">
        <v>2554</v>
      </c>
      <c r="E369" s="31">
        <v>1030</v>
      </c>
      <c r="F369" s="36">
        <v>538</v>
      </c>
      <c r="G369" s="37">
        <v>251</v>
      </c>
      <c r="H369">
        <v>1368</v>
      </c>
      <c r="I369" s="31">
        <v>857</v>
      </c>
      <c r="J369" s="31">
        <v>722</v>
      </c>
      <c r="K369" s="7">
        <v>932.21</v>
      </c>
      <c r="L369" s="38">
        <v>361100</v>
      </c>
      <c r="M369" s="39">
        <v>295.4375</v>
      </c>
      <c r="N369">
        <v>5</v>
      </c>
      <c r="O369" s="30">
        <f>Rådatakommune[[#This Row],[B17-O]]/Rådatakommune[[#This Row],[Totalareal2017-O]]</f>
        <v>2.7397260273972601</v>
      </c>
      <c r="P369" s="32">
        <f>Rådatakommune[[#This Row],[B17-O]]/Rådatakommune[[#This Row],[B07-O]]-1</f>
        <v>-4.8435171385991072E-2</v>
      </c>
      <c r="Q369" s="32">
        <f>Rådatakommune[[#This Row],[Kvinner20-39-O]]/Rådatakommune[[#This Row],[B17-O]]</f>
        <v>9.827721221613156E-2</v>
      </c>
      <c r="R369" s="32">
        <f>Rådatakommune[[#This Row],[Eldre67+-O]]/Rådatakommune[[#This Row],[B17-O]]</f>
        <v>0.21064996084573218</v>
      </c>
      <c r="S369" s="32">
        <f>Rådatakommune[[#This Row],[S16-O]]/Rådatakommune[[#This Row],[S06-O]]-1</f>
        <v>-0.15752625437572931</v>
      </c>
      <c r="T369" s="32">
        <f>Rådatakommune[[#This Row],[Y16-O]]/Rådatakommune[[#This Row],[Folk20-64-O]]</f>
        <v>0.75292397660818711</v>
      </c>
    </row>
    <row r="370" spans="1:20" x14ac:dyDescent="0.25">
      <c r="A370" s="2" t="s">
        <v>318</v>
      </c>
      <c r="B370" s="2">
        <v>369</v>
      </c>
      <c r="C370" s="35">
        <v>591</v>
      </c>
      <c r="D370" s="34">
        <v>535</v>
      </c>
      <c r="E370" s="31">
        <v>271</v>
      </c>
      <c r="F370" s="36">
        <v>106</v>
      </c>
      <c r="G370" s="37">
        <v>50</v>
      </c>
      <c r="H370">
        <v>317</v>
      </c>
      <c r="I370" s="31">
        <v>309</v>
      </c>
      <c r="J370" s="31">
        <v>239</v>
      </c>
      <c r="K370" s="7">
        <v>10.130000000000001</v>
      </c>
      <c r="L370" s="38">
        <v>448600</v>
      </c>
      <c r="M370" s="39">
        <v>286</v>
      </c>
      <c r="N370">
        <v>11</v>
      </c>
      <c r="O370" s="30">
        <f>Rådatakommune[[#This Row],[B17-O]]/Rådatakommune[[#This Row],[Totalareal2017-O]]</f>
        <v>52.813425468904242</v>
      </c>
      <c r="P370" s="32">
        <f>Rådatakommune[[#This Row],[B17-O]]/Rådatakommune[[#This Row],[B07-O]]-1</f>
        <v>-9.4754653130287636E-2</v>
      </c>
      <c r="Q370" s="32">
        <f>Rådatakommune[[#This Row],[Kvinner20-39-O]]/Rådatakommune[[#This Row],[B17-O]]</f>
        <v>9.3457943925233641E-2</v>
      </c>
      <c r="R370" s="32">
        <f>Rådatakommune[[#This Row],[Eldre67+-O]]/Rådatakommune[[#This Row],[B17-O]]</f>
        <v>0.19813084112149532</v>
      </c>
      <c r="S370" s="32">
        <f>Rådatakommune[[#This Row],[S16-O]]/Rådatakommune[[#This Row],[S06-O]]-1</f>
        <v>-0.22653721682847894</v>
      </c>
      <c r="T370" s="32">
        <f>Rådatakommune[[#This Row],[Y16-O]]/Rådatakommune[[#This Row],[Folk20-64-O]]</f>
        <v>0.85488958990536279</v>
      </c>
    </row>
    <row r="371" spans="1:20" x14ac:dyDescent="0.25">
      <c r="A371" s="2" t="s">
        <v>319</v>
      </c>
      <c r="B371" s="2">
        <v>370</v>
      </c>
      <c r="C371" s="35">
        <v>748</v>
      </c>
      <c r="D371" s="34">
        <v>744</v>
      </c>
      <c r="E371" s="31">
        <v>370</v>
      </c>
      <c r="F371" s="36">
        <v>146</v>
      </c>
      <c r="G371" s="37">
        <v>74</v>
      </c>
      <c r="H371">
        <v>418</v>
      </c>
      <c r="I371" s="31">
        <v>349</v>
      </c>
      <c r="J371" s="31">
        <v>350</v>
      </c>
      <c r="K371" s="7">
        <v>18.64</v>
      </c>
      <c r="L371" s="38">
        <v>406000</v>
      </c>
      <c r="M371" s="39">
        <v>260.625</v>
      </c>
      <c r="N371">
        <v>11</v>
      </c>
      <c r="O371" s="30">
        <f>Rådatakommune[[#This Row],[B17-O]]/Rådatakommune[[#This Row],[Totalareal2017-O]]</f>
        <v>39.914163090128753</v>
      </c>
      <c r="P371" s="32">
        <f>Rådatakommune[[#This Row],[B17-O]]/Rådatakommune[[#This Row],[B07-O]]-1</f>
        <v>-5.3475935828877219E-3</v>
      </c>
      <c r="Q371" s="32">
        <f>Rådatakommune[[#This Row],[Kvinner20-39-O]]/Rådatakommune[[#This Row],[B17-O]]</f>
        <v>9.9462365591397844E-2</v>
      </c>
      <c r="R371" s="32">
        <f>Rådatakommune[[#This Row],[Eldre67+-O]]/Rådatakommune[[#This Row],[B17-O]]</f>
        <v>0.19623655913978494</v>
      </c>
      <c r="S371" s="32">
        <f>Rådatakommune[[#This Row],[S16-O]]/Rådatakommune[[#This Row],[S06-O]]-1</f>
        <v>2.8653295128939771E-3</v>
      </c>
      <c r="T371" s="32">
        <f>Rådatakommune[[#This Row],[Y16-O]]/Rådatakommune[[#This Row],[Folk20-64-O]]</f>
        <v>0.88516746411483249</v>
      </c>
    </row>
    <row r="372" spans="1:20" x14ac:dyDescent="0.25">
      <c r="A372" s="2" t="s">
        <v>320</v>
      </c>
      <c r="B372" s="2">
        <v>371</v>
      </c>
      <c r="C372" s="35">
        <v>1458</v>
      </c>
      <c r="D372" s="34">
        <v>1349</v>
      </c>
      <c r="E372" s="31">
        <v>638</v>
      </c>
      <c r="F372" s="36">
        <v>287</v>
      </c>
      <c r="G372" s="37">
        <v>137</v>
      </c>
      <c r="H372">
        <v>738</v>
      </c>
      <c r="I372" s="31">
        <v>618</v>
      </c>
      <c r="J372" s="31">
        <v>562</v>
      </c>
      <c r="K372" s="7">
        <v>178.38</v>
      </c>
      <c r="L372" s="38">
        <v>387200</v>
      </c>
      <c r="M372" s="39">
        <v>266.875</v>
      </c>
      <c r="N372">
        <v>9</v>
      </c>
      <c r="O372" s="30">
        <f>Rådatakommune[[#This Row],[B17-O]]/Rådatakommune[[#This Row],[Totalareal2017-O]]</f>
        <v>7.5625070075120533</v>
      </c>
      <c r="P372" s="32">
        <f>Rådatakommune[[#This Row],[B17-O]]/Rådatakommune[[#This Row],[B07-O]]-1</f>
        <v>-7.4759945130315475E-2</v>
      </c>
      <c r="Q372" s="32">
        <f>Rådatakommune[[#This Row],[Kvinner20-39-O]]/Rådatakommune[[#This Row],[B17-O]]</f>
        <v>0.10155670867309118</v>
      </c>
      <c r="R372" s="32">
        <f>Rådatakommune[[#This Row],[Eldre67+-O]]/Rådatakommune[[#This Row],[B17-O]]</f>
        <v>0.21275018532246109</v>
      </c>
      <c r="S372" s="32">
        <f>Rådatakommune[[#This Row],[S16-O]]/Rådatakommune[[#This Row],[S06-O]]-1</f>
        <v>-9.061488673139162E-2</v>
      </c>
      <c r="T372" s="32">
        <f>Rådatakommune[[#This Row],[Y16-O]]/Rådatakommune[[#This Row],[Folk20-64-O]]</f>
        <v>0.8644986449864499</v>
      </c>
    </row>
    <row r="373" spans="1:20" x14ac:dyDescent="0.25">
      <c r="A373" s="2" t="s">
        <v>321</v>
      </c>
      <c r="B373" s="2">
        <v>372</v>
      </c>
      <c r="C373" s="35">
        <v>10745</v>
      </c>
      <c r="D373" s="34">
        <v>11294</v>
      </c>
      <c r="E373" s="31">
        <v>5366</v>
      </c>
      <c r="F373" s="36">
        <v>1844</v>
      </c>
      <c r="G373" s="37">
        <v>1320</v>
      </c>
      <c r="H373">
        <v>6343</v>
      </c>
      <c r="I373" s="31">
        <v>4667</v>
      </c>
      <c r="J373" s="31">
        <v>5218</v>
      </c>
      <c r="K373" s="7">
        <v>424.55</v>
      </c>
      <c r="L373" s="38">
        <v>386100</v>
      </c>
      <c r="M373" s="39">
        <v>241.90625</v>
      </c>
      <c r="N373">
        <v>9</v>
      </c>
      <c r="O373" s="30">
        <f>Rådatakommune[[#This Row],[B17-O]]/Rådatakommune[[#This Row],[Totalareal2017-O]]</f>
        <v>26.602284772111648</v>
      </c>
      <c r="P373" s="32">
        <f>Rådatakommune[[#This Row],[B17-O]]/Rådatakommune[[#This Row],[B07-O]]-1</f>
        <v>5.1093531875290754E-2</v>
      </c>
      <c r="Q373" s="32">
        <f>Rådatakommune[[#This Row],[Kvinner20-39-O]]/Rådatakommune[[#This Row],[B17-O]]</f>
        <v>0.11687621746059855</v>
      </c>
      <c r="R373" s="32">
        <f>Rådatakommune[[#This Row],[Eldre67+-O]]/Rådatakommune[[#This Row],[B17-O]]</f>
        <v>0.16327253408889675</v>
      </c>
      <c r="S373" s="32">
        <f>Rådatakommune[[#This Row],[S16-O]]/Rådatakommune[[#This Row],[S06-O]]-1</f>
        <v>0.1180629955003214</v>
      </c>
      <c r="T373" s="32">
        <f>Rådatakommune[[#This Row],[Y16-O]]/Rådatakommune[[#This Row],[Folk20-64-O]]</f>
        <v>0.84597193756897371</v>
      </c>
    </row>
    <row r="374" spans="1:20" x14ac:dyDescent="0.25">
      <c r="A374" s="2" t="s">
        <v>322</v>
      </c>
      <c r="B374" s="2">
        <v>373</v>
      </c>
      <c r="C374" s="35">
        <v>8992</v>
      </c>
      <c r="D374" s="34">
        <v>9444</v>
      </c>
      <c r="E374" s="31">
        <v>4631</v>
      </c>
      <c r="F374" s="36">
        <v>1570</v>
      </c>
      <c r="G374" s="37">
        <v>1074</v>
      </c>
      <c r="H374">
        <v>5440</v>
      </c>
      <c r="I374" s="31">
        <v>4167</v>
      </c>
      <c r="J374" s="31">
        <v>4416</v>
      </c>
      <c r="K374" s="7">
        <v>479.15</v>
      </c>
      <c r="L374" s="38">
        <v>392900</v>
      </c>
      <c r="M374" s="39">
        <v>245.125</v>
      </c>
      <c r="N374">
        <v>7</v>
      </c>
      <c r="O374" s="30">
        <f>Rådatakommune[[#This Row],[B17-O]]/Rådatakommune[[#This Row],[Totalareal2017-O]]</f>
        <v>19.709902953146198</v>
      </c>
      <c r="P374" s="32">
        <f>Rådatakommune[[#This Row],[B17-O]]/Rådatakommune[[#This Row],[B07-O]]-1</f>
        <v>5.0266903914590655E-2</v>
      </c>
      <c r="Q374" s="32">
        <f>Rådatakommune[[#This Row],[Kvinner20-39-O]]/Rådatakommune[[#This Row],[B17-O]]</f>
        <v>0.11372299872935197</v>
      </c>
      <c r="R374" s="32">
        <f>Rådatakommune[[#This Row],[Eldre67+-O]]/Rådatakommune[[#This Row],[B17-O]]</f>
        <v>0.16624311732316815</v>
      </c>
      <c r="S374" s="32">
        <f>Rådatakommune[[#This Row],[S16-O]]/Rådatakommune[[#This Row],[S06-O]]-1</f>
        <v>5.975521958243335E-2</v>
      </c>
      <c r="T374" s="32">
        <f>Rådatakommune[[#This Row],[Y16-O]]/Rådatakommune[[#This Row],[Folk20-64-O]]</f>
        <v>0.85128676470588238</v>
      </c>
    </row>
    <row r="375" spans="1:20" x14ac:dyDescent="0.25">
      <c r="A375" s="2" t="s">
        <v>323</v>
      </c>
      <c r="B375" s="2">
        <v>374</v>
      </c>
      <c r="C375" s="35">
        <v>7907</v>
      </c>
      <c r="D375" s="34">
        <v>8009</v>
      </c>
      <c r="E375" s="31">
        <v>3704</v>
      </c>
      <c r="F375" s="36">
        <v>1519</v>
      </c>
      <c r="G375" s="37">
        <v>867</v>
      </c>
      <c r="H375">
        <v>4465</v>
      </c>
      <c r="I375" s="31">
        <v>3676</v>
      </c>
      <c r="J375" s="31">
        <v>3556</v>
      </c>
      <c r="K375" s="7">
        <v>566.55999999999995</v>
      </c>
      <c r="L375" s="38">
        <v>390200</v>
      </c>
      <c r="M375" s="39">
        <v>290.0625</v>
      </c>
      <c r="N375">
        <v>8</v>
      </c>
      <c r="O375" s="30">
        <f>Rådatakommune[[#This Row],[B17-O]]/Rådatakommune[[#This Row],[Totalareal2017-O]]</f>
        <v>14.136190341711382</v>
      </c>
      <c r="P375" s="32">
        <f>Rådatakommune[[#This Row],[B17-O]]/Rådatakommune[[#This Row],[B07-O]]-1</f>
        <v>1.2899962058935177E-2</v>
      </c>
      <c r="Q375" s="32">
        <f>Rådatakommune[[#This Row],[Kvinner20-39-O]]/Rådatakommune[[#This Row],[B17-O]]</f>
        <v>0.10825321513297541</v>
      </c>
      <c r="R375" s="32">
        <f>Rådatakommune[[#This Row],[Eldre67+-O]]/Rådatakommune[[#This Row],[B17-O]]</f>
        <v>0.18966163066550132</v>
      </c>
      <c r="S375" s="32">
        <f>Rådatakommune[[#This Row],[S16-O]]/Rådatakommune[[#This Row],[S06-O]]-1</f>
        <v>-3.2644178454842243E-2</v>
      </c>
      <c r="T375" s="32">
        <f>Rådatakommune[[#This Row],[Y16-O]]/Rådatakommune[[#This Row],[Folk20-64-O]]</f>
        <v>0.82956326987681972</v>
      </c>
    </row>
    <row r="376" spans="1:20" x14ac:dyDescent="0.25">
      <c r="A376" s="2" t="s">
        <v>324</v>
      </c>
      <c r="B376" s="2">
        <v>375</v>
      </c>
      <c r="C376" s="35">
        <v>2899</v>
      </c>
      <c r="D376" s="34">
        <v>2624</v>
      </c>
      <c r="E376" s="31">
        <v>1072</v>
      </c>
      <c r="F376" s="36">
        <v>678</v>
      </c>
      <c r="G376" s="37">
        <v>216</v>
      </c>
      <c r="H376">
        <v>1382</v>
      </c>
      <c r="I376" s="31">
        <v>1022</v>
      </c>
      <c r="J376" s="31">
        <v>934</v>
      </c>
      <c r="K376" s="7">
        <v>246.69000000000003</v>
      </c>
      <c r="L376" s="38">
        <v>344000</v>
      </c>
      <c r="M376" s="39">
        <v>338.75</v>
      </c>
      <c r="N376">
        <v>8</v>
      </c>
      <c r="O376" s="30">
        <f>Rådatakommune[[#This Row],[B17-O]]/Rådatakommune[[#This Row],[Totalareal2017-O]]</f>
        <v>10.636831651060033</v>
      </c>
      <c r="P376" s="32">
        <f>Rådatakommune[[#This Row],[B17-O]]/Rådatakommune[[#This Row],[B07-O]]-1</f>
        <v>-9.4860296654018628E-2</v>
      </c>
      <c r="Q376" s="32">
        <f>Rådatakommune[[#This Row],[Kvinner20-39-O]]/Rådatakommune[[#This Row],[B17-O]]</f>
        <v>8.2317073170731711E-2</v>
      </c>
      <c r="R376" s="32">
        <f>Rådatakommune[[#This Row],[Eldre67+-O]]/Rådatakommune[[#This Row],[B17-O]]</f>
        <v>0.25838414634146339</v>
      </c>
      <c r="S376" s="32">
        <f>Rådatakommune[[#This Row],[S16-O]]/Rådatakommune[[#This Row],[S06-O]]-1</f>
        <v>-8.6105675146771032E-2</v>
      </c>
      <c r="T376" s="32">
        <f>Rådatakommune[[#This Row],[Y16-O]]/Rådatakommune[[#This Row],[Folk20-64-O]]</f>
        <v>0.77568740955137483</v>
      </c>
    </row>
    <row r="377" spans="1:20" x14ac:dyDescent="0.25">
      <c r="A377" s="2" t="s">
        <v>325</v>
      </c>
      <c r="B377" s="2">
        <v>376</v>
      </c>
      <c r="C377" s="35">
        <v>4486</v>
      </c>
      <c r="D377" s="34">
        <v>4580</v>
      </c>
      <c r="E377" s="31">
        <v>2130</v>
      </c>
      <c r="F377" s="36">
        <v>789</v>
      </c>
      <c r="G377" s="37">
        <v>470</v>
      </c>
      <c r="H377">
        <v>2666</v>
      </c>
      <c r="I377" s="31">
        <v>1923</v>
      </c>
      <c r="J377" s="31">
        <v>1942</v>
      </c>
      <c r="K377" s="7">
        <v>319.51</v>
      </c>
      <c r="L377" s="38">
        <v>387800</v>
      </c>
      <c r="M377" s="39">
        <v>327.5</v>
      </c>
      <c r="N377">
        <v>8</v>
      </c>
      <c r="O377" s="30">
        <f>Rådatakommune[[#This Row],[B17-O]]/Rådatakommune[[#This Row],[Totalareal2017-O]]</f>
        <v>14.334449625989798</v>
      </c>
      <c r="P377" s="32">
        <f>Rådatakommune[[#This Row],[B17-O]]/Rådatakommune[[#This Row],[B07-O]]-1</f>
        <v>2.0954079358002753E-2</v>
      </c>
      <c r="Q377" s="32">
        <f>Rådatakommune[[#This Row],[Kvinner20-39-O]]/Rådatakommune[[#This Row],[B17-O]]</f>
        <v>0.10262008733624454</v>
      </c>
      <c r="R377" s="32">
        <f>Rådatakommune[[#This Row],[Eldre67+-O]]/Rådatakommune[[#This Row],[B17-O]]</f>
        <v>0.1722707423580786</v>
      </c>
      <c r="S377" s="32">
        <f>Rådatakommune[[#This Row],[S16-O]]/Rådatakommune[[#This Row],[S06-O]]-1</f>
        <v>9.880395215808635E-3</v>
      </c>
      <c r="T377" s="32">
        <f>Rådatakommune[[#This Row],[Y16-O]]/Rådatakommune[[#This Row],[Folk20-64-O]]</f>
        <v>0.7989497374343586</v>
      </c>
    </row>
    <row r="378" spans="1:20" x14ac:dyDescent="0.25">
      <c r="A378" s="2" t="s">
        <v>326</v>
      </c>
      <c r="B378" s="2">
        <v>377</v>
      </c>
      <c r="C378" s="35">
        <v>9703</v>
      </c>
      <c r="D378" s="34">
        <v>10378</v>
      </c>
      <c r="E378" s="31">
        <v>5017</v>
      </c>
      <c r="F378" s="36">
        <v>1543</v>
      </c>
      <c r="G378" s="37">
        <v>1209</v>
      </c>
      <c r="H378">
        <v>5965</v>
      </c>
      <c r="I378" s="31">
        <v>5053</v>
      </c>
      <c r="J378" s="31">
        <v>5009</v>
      </c>
      <c r="K378" s="7">
        <v>721.92000000000007</v>
      </c>
      <c r="L378" s="38">
        <v>403400</v>
      </c>
      <c r="M378" s="39">
        <v>296.5</v>
      </c>
      <c r="N378">
        <v>8</v>
      </c>
      <c r="O378" s="30">
        <f>Rådatakommune[[#This Row],[B17-O]]/Rådatakommune[[#This Row],[Totalareal2017-O]]</f>
        <v>14.375554078014183</v>
      </c>
      <c r="P378" s="32">
        <f>Rådatakommune[[#This Row],[B17-O]]/Rådatakommune[[#This Row],[B07-O]]-1</f>
        <v>6.9566113573121813E-2</v>
      </c>
      <c r="Q378" s="32">
        <f>Rådatakommune[[#This Row],[Kvinner20-39-O]]/Rådatakommune[[#This Row],[B17-O]]</f>
        <v>0.11649643476585084</v>
      </c>
      <c r="R378" s="32">
        <f>Rådatakommune[[#This Row],[Eldre67+-O]]/Rådatakommune[[#This Row],[B17-O]]</f>
        <v>0.1486798997880131</v>
      </c>
      <c r="S378" s="32">
        <f>Rådatakommune[[#This Row],[S16-O]]/Rådatakommune[[#This Row],[S06-O]]-1</f>
        <v>-8.7076983969919253E-3</v>
      </c>
      <c r="T378" s="32">
        <f>Rådatakommune[[#This Row],[Y16-O]]/Rådatakommune[[#This Row],[Folk20-64-O]]</f>
        <v>0.84107292539815592</v>
      </c>
    </row>
    <row r="379" spans="1:20" x14ac:dyDescent="0.25">
      <c r="A379" s="2" t="s">
        <v>327</v>
      </c>
      <c r="B379" s="2">
        <v>378</v>
      </c>
      <c r="C379" s="35">
        <v>5152</v>
      </c>
      <c r="D379" s="34">
        <v>4908</v>
      </c>
      <c r="E379" s="31">
        <v>2179</v>
      </c>
      <c r="F379" s="36">
        <v>1052</v>
      </c>
      <c r="G379" s="37">
        <v>490</v>
      </c>
      <c r="H379">
        <v>2685</v>
      </c>
      <c r="I379" s="31">
        <v>2469</v>
      </c>
      <c r="J379" s="31">
        <v>2010</v>
      </c>
      <c r="K379" s="7">
        <v>656.12</v>
      </c>
      <c r="L379" s="38">
        <v>381000</v>
      </c>
      <c r="M379" s="39">
        <v>239.15625</v>
      </c>
      <c r="N379">
        <v>9</v>
      </c>
      <c r="O379" s="30">
        <f>Rådatakommune[[#This Row],[B17-O]]/Rådatakommune[[#This Row],[Totalareal2017-O]]</f>
        <v>7.4803389623849297</v>
      </c>
      <c r="P379" s="32">
        <f>Rådatakommune[[#This Row],[B17-O]]/Rådatakommune[[#This Row],[B07-O]]-1</f>
        <v>-4.7360248447204989E-2</v>
      </c>
      <c r="Q379" s="32">
        <f>Rådatakommune[[#This Row],[Kvinner20-39-O]]/Rådatakommune[[#This Row],[B17-O]]</f>
        <v>9.9837000814995927E-2</v>
      </c>
      <c r="R379" s="32">
        <f>Rådatakommune[[#This Row],[Eldre67+-O]]/Rådatakommune[[#This Row],[B17-O]]</f>
        <v>0.21434392828035859</v>
      </c>
      <c r="S379" s="32">
        <f>Rådatakommune[[#This Row],[S16-O]]/Rådatakommune[[#This Row],[S06-O]]-1</f>
        <v>-0.18590522478736327</v>
      </c>
      <c r="T379" s="32">
        <f>Rådatakommune[[#This Row],[Y16-O]]/Rådatakommune[[#This Row],[Folk20-64-O]]</f>
        <v>0.81154562383612661</v>
      </c>
    </row>
    <row r="380" spans="1:20" x14ac:dyDescent="0.25">
      <c r="A380" s="2" t="s">
        <v>328</v>
      </c>
      <c r="B380" s="2">
        <v>379</v>
      </c>
      <c r="C380" s="35">
        <v>1156</v>
      </c>
      <c r="D380" s="34">
        <v>1073</v>
      </c>
      <c r="E380" s="31">
        <v>488</v>
      </c>
      <c r="F380" s="36">
        <v>248</v>
      </c>
      <c r="G380" s="37">
        <v>113</v>
      </c>
      <c r="H380">
        <v>604</v>
      </c>
      <c r="I380" s="31">
        <v>501</v>
      </c>
      <c r="J380" s="31">
        <v>464</v>
      </c>
      <c r="K380" s="7">
        <v>118.78999999999999</v>
      </c>
      <c r="L380" s="38">
        <v>382800</v>
      </c>
      <c r="M380" s="39">
        <v>288.8125</v>
      </c>
      <c r="N380">
        <v>11</v>
      </c>
      <c r="O380" s="30">
        <f>Rådatakommune[[#This Row],[B17-O]]/Rådatakommune[[#This Row],[Totalareal2017-O]]</f>
        <v>9.0327468642141593</v>
      </c>
      <c r="P380" s="32">
        <f>Rådatakommune[[#This Row],[B17-O]]/Rådatakommune[[#This Row],[B07-O]]-1</f>
        <v>-7.1799307958477554E-2</v>
      </c>
      <c r="Q380" s="32">
        <f>Rådatakommune[[#This Row],[Kvinner20-39-O]]/Rådatakommune[[#This Row],[B17-O]]</f>
        <v>0.10531220876048462</v>
      </c>
      <c r="R380" s="32">
        <f>Rådatakommune[[#This Row],[Eldre67+-O]]/Rådatakommune[[#This Row],[B17-O]]</f>
        <v>0.23112767940354148</v>
      </c>
      <c r="S380" s="32">
        <f>Rådatakommune[[#This Row],[S16-O]]/Rådatakommune[[#This Row],[S06-O]]-1</f>
        <v>-7.385229540918159E-2</v>
      </c>
      <c r="T380" s="32">
        <f>Rådatakommune[[#This Row],[Y16-O]]/Rådatakommune[[#This Row],[Folk20-64-O]]</f>
        <v>0.80794701986754969</v>
      </c>
    </row>
    <row r="381" spans="1:20" x14ac:dyDescent="0.25">
      <c r="A381" s="2" t="s">
        <v>329</v>
      </c>
      <c r="B381" s="2">
        <v>380</v>
      </c>
      <c r="C381" s="35">
        <v>64492</v>
      </c>
      <c r="D381" s="34">
        <v>74541</v>
      </c>
      <c r="E381" s="31">
        <v>40506</v>
      </c>
      <c r="F381" s="36">
        <v>8179</v>
      </c>
      <c r="G381" s="37">
        <v>11283</v>
      </c>
      <c r="H381">
        <v>47296</v>
      </c>
      <c r="I381" s="31">
        <v>37760</v>
      </c>
      <c r="J381" s="31">
        <v>42668</v>
      </c>
      <c r="K381" s="7">
        <v>2521.2800000000002</v>
      </c>
      <c r="L381" s="38">
        <v>434300</v>
      </c>
      <c r="M381" s="39">
        <v>216</v>
      </c>
      <c r="N381">
        <v>4</v>
      </c>
      <c r="O381" s="30">
        <f>Rådatakommune[[#This Row],[B17-O]]/Rådatakommune[[#This Row],[Totalareal2017-O]]</f>
        <v>29.564744891483688</v>
      </c>
      <c r="P381" s="32">
        <f>Rådatakommune[[#This Row],[B17-O]]/Rådatakommune[[#This Row],[B07-O]]-1</f>
        <v>0.15581777584816714</v>
      </c>
      <c r="Q381" s="32">
        <f>Rådatakommune[[#This Row],[Kvinner20-39-O]]/Rådatakommune[[#This Row],[B17-O]]</f>
        <v>0.151366362136274</v>
      </c>
      <c r="R381" s="32">
        <f>Rådatakommune[[#This Row],[Eldre67+-O]]/Rådatakommune[[#This Row],[B17-O]]</f>
        <v>0.10972484941173315</v>
      </c>
      <c r="S381" s="32">
        <f>Rådatakommune[[#This Row],[S16-O]]/Rådatakommune[[#This Row],[S06-O]]-1</f>
        <v>0.12997881355932206</v>
      </c>
      <c r="T381" s="32">
        <f>Rådatakommune[[#This Row],[Y16-O]]/Rådatakommune[[#This Row],[Folk20-64-O]]</f>
        <v>0.85643606224627877</v>
      </c>
    </row>
    <row r="382" spans="1:20" x14ac:dyDescent="0.25">
      <c r="A382" s="2" t="s">
        <v>330</v>
      </c>
      <c r="B382" s="2">
        <v>381</v>
      </c>
      <c r="C382" s="35">
        <v>23784</v>
      </c>
      <c r="D382" s="34">
        <v>24845</v>
      </c>
      <c r="E382" s="31">
        <v>12153</v>
      </c>
      <c r="F382" s="36">
        <v>4047</v>
      </c>
      <c r="G382" s="37">
        <v>3020</v>
      </c>
      <c r="H382">
        <v>14448</v>
      </c>
      <c r="I382" s="40">
        <v>11773</v>
      </c>
      <c r="J382" s="31">
        <v>12165</v>
      </c>
      <c r="K382" s="7">
        <v>445.17</v>
      </c>
      <c r="L382" s="38">
        <v>413300</v>
      </c>
      <c r="M382" s="39">
        <v>235.3125</v>
      </c>
      <c r="N382">
        <v>5</v>
      </c>
      <c r="O382" s="30">
        <f>Rådatakommune[[#This Row],[B17-O]]/Rådatakommune[[#This Row],[Totalareal2017-O]]</f>
        <v>55.810139946537277</v>
      </c>
      <c r="P382" s="32">
        <f>Rådatakommune[[#This Row],[B17-O]]/Rådatakommune[[#This Row],[B07-O]]-1</f>
        <v>4.4609821728893273E-2</v>
      </c>
      <c r="Q382" s="32">
        <f>Rådatakommune[[#This Row],[Kvinner20-39-O]]/Rådatakommune[[#This Row],[B17-O]]</f>
        <v>0.12155363252163413</v>
      </c>
      <c r="R382" s="32">
        <f>Rådatakommune[[#This Row],[Eldre67+-O]]/Rådatakommune[[#This Row],[B17-O]]</f>
        <v>0.16288991748842827</v>
      </c>
      <c r="S382" s="32">
        <f>Rådatakommune[[#This Row],[S16-O]]/Rådatakommune[[#This Row],[S06-O]]-1</f>
        <v>3.3296525949205735E-2</v>
      </c>
      <c r="T382" s="32">
        <f>Rådatakommune[[#This Row],[Y16-O]]/Rådatakommune[[#This Row],[Folk20-64-O]]</f>
        <v>0.84115448504983392</v>
      </c>
    </row>
    <row r="383" spans="1:20" x14ac:dyDescent="0.25">
      <c r="A383" s="2" t="s">
        <v>331</v>
      </c>
      <c r="B383" s="2">
        <v>382</v>
      </c>
      <c r="C383" s="35">
        <v>3048</v>
      </c>
      <c r="D383" s="34">
        <v>2986</v>
      </c>
      <c r="E383" s="31">
        <v>1392</v>
      </c>
      <c r="F383" s="36">
        <v>567</v>
      </c>
      <c r="G383" s="37">
        <v>332</v>
      </c>
      <c r="H383">
        <v>1681</v>
      </c>
      <c r="I383" s="31">
        <v>1269</v>
      </c>
      <c r="J383" s="31">
        <v>1075</v>
      </c>
      <c r="K383" s="7">
        <v>512.58000000000004</v>
      </c>
      <c r="L383" s="38">
        <v>350400</v>
      </c>
      <c r="M383" s="39">
        <v>248.03125</v>
      </c>
      <c r="N383">
        <v>5</v>
      </c>
      <c r="O383" s="30">
        <f>Rådatakommune[[#This Row],[B17-O]]/Rådatakommune[[#This Row],[Totalareal2017-O]]</f>
        <v>5.8254321276678755</v>
      </c>
      <c r="P383" s="32">
        <f>Rådatakommune[[#This Row],[B17-O]]/Rådatakommune[[#This Row],[B07-O]]-1</f>
        <v>-2.0341207349081403E-2</v>
      </c>
      <c r="Q383" s="32">
        <f>Rådatakommune[[#This Row],[Kvinner20-39-O]]/Rådatakommune[[#This Row],[B17-O]]</f>
        <v>0.11118553248492967</v>
      </c>
      <c r="R383" s="32">
        <f>Rådatakommune[[#This Row],[Eldre67+-O]]/Rådatakommune[[#This Row],[B17-O]]</f>
        <v>0.18988613529805759</v>
      </c>
      <c r="S383" s="32">
        <f>Rådatakommune[[#This Row],[S16-O]]/Rådatakommune[[#This Row],[S06-O]]-1</f>
        <v>-0.152876280535855</v>
      </c>
      <c r="T383" s="32">
        <f>Rådatakommune[[#This Row],[Y16-O]]/Rådatakommune[[#This Row],[Folk20-64-O]]</f>
        <v>0.82807852468768595</v>
      </c>
    </row>
    <row r="384" spans="1:20" x14ac:dyDescent="0.25">
      <c r="A384" s="2" t="s">
        <v>332</v>
      </c>
      <c r="B384" s="2">
        <v>383</v>
      </c>
      <c r="C384" s="35">
        <v>2883</v>
      </c>
      <c r="D384" s="34">
        <v>3048</v>
      </c>
      <c r="E384" s="31">
        <v>1390</v>
      </c>
      <c r="F384" s="36">
        <v>627</v>
      </c>
      <c r="G384" s="37">
        <v>294</v>
      </c>
      <c r="H384">
        <v>1664</v>
      </c>
      <c r="I384" s="31">
        <v>1005</v>
      </c>
      <c r="J384" s="31">
        <v>1009</v>
      </c>
      <c r="K384" s="7">
        <v>495</v>
      </c>
      <c r="L384" s="38">
        <v>380300</v>
      </c>
      <c r="M384" s="39">
        <v>212.65625</v>
      </c>
      <c r="N384">
        <v>5</v>
      </c>
      <c r="O384" s="30">
        <f>Rådatakommune[[#This Row],[B17-O]]/Rådatakommune[[#This Row],[Totalareal2017-O]]</f>
        <v>6.1575757575757573</v>
      </c>
      <c r="P384" s="32">
        <f>Rådatakommune[[#This Row],[B17-O]]/Rådatakommune[[#This Row],[B07-O]]-1</f>
        <v>5.723204994797082E-2</v>
      </c>
      <c r="Q384" s="32">
        <f>Rådatakommune[[#This Row],[Kvinner20-39-O]]/Rådatakommune[[#This Row],[B17-O]]</f>
        <v>9.6456692913385822E-2</v>
      </c>
      <c r="R384" s="32">
        <f>Rådatakommune[[#This Row],[Eldre67+-O]]/Rådatakommune[[#This Row],[B17-O]]</f>
        <v>0.20570866141732283</v>
      </c>
      <c r="S384" s="32">
        <f>Rådatakommune[[#This Row],[S16-O]]/Rådatakommune[[#This Row],[S06-O]]-1</f>
        <v>3.9800995024874553E-3</v>
      </c>
      <c r="T384" s="32">
        <f>Rådatakommune[[#This Row],[Y16-O]]/Rådatakommune[[#This Row],[Folk20-64-O]]</f>
        <v>0.83533653846153844</v>
      </c>
    </row>
    <row r="385" spans="1:20" x14ac:dyDescent="0.25">
      <c r="A385" s="2" t="s">
        <v>333</v>
      </c>
      <c r="B385" s="2">
        <v>384</v>
      </c>
      <c r="C385" s="35">
        <v>1574</v>
      </c>
      <c r="D385" s="34">
        <v>1394</v>
      </c>
      <c r="E385" s="31">
        <v>604</v>
      </c>
      <c r="F385" s="36">
        <v>384</v>
      </c>
      <c r="G385" s="37">
        <v>113</v>
      </c>
      <c r="H385">
        <v>693</v>
      </c>
      <c r="I385" s="31">
        <v>567</v>
      </c>
      <c r="J385" s="31">
        <v>540</v>
      </c>
      <c r="K385" s="7">
        <v>241.06</v>
      </c>
      <c r="L385" s="38">
        <v>362300</v>
      </c>
      <c r="M385" s="39">
        <v>293.625</v>
      </c>
      <c r="N385">
        <v>11</v>
      </c>
      <c r="O385" s="30">
        <f>Rådatakommune[[#This Row],[B17-O]]/Rådatakommune[[#This Row],[Totalareal2017-O]]</f>
        <v>5.7827926657263751</v>
      </c>
      <c r="P385" s="32">
        <f>Rådatakommune[[#This Row],[B17-O]]/Rådatakommune[[#This Row],[B07-O]]-1</f>
        <v>-0.11435832274459978</v>
      </c>
      <c r="Q385" s="32">
        <f>Rådatakommune[[#This Row],[Kvinner20-39-O]]/Rådatakommune[[#This Row],[B17-O]]</f>
        <v>8.1061692969870869E-2</v>
      </c>
      <c r="R385" s="32">
        <f>Rådatakommune[[#This Row],[Eldre67+-O]]/Rådatakommune[[#This Row],[B17-O]]</f>
        <v>0.27546628407460544</v>
      </c>
      <c r="S385" s="32">
        <f>Rådatakommune[[#This Row],[S16-O]]/Rådatakommune[[#This Row],[S06-O]]-1</f>
        <v>-4.7619047619047672E-2</v>
      </c>
      <c r="T385" s="32">
        <f>Rådatakommune[[#This Row],[Y16-O]]/Rådatakommune[[#This Row],[Folk20-64-O]]</f>
        <v>0.87157287157287155</v>
      </c>
    </row>
    <row r="386" spans="1:20" x14ac:dyDescent="0.25">
      <c r="A386" s="2" t="s">
        <v>334</v>
      </c>
      <c r="B386" s="2">
        <v>385</v>
      </c>
      <c r="C386" s="35">
        <v>1226</v>
      </c>
      <c r="D386" s="34">
        <v>1121</v>
      </c>
      <c r="E386" s="31">
        <v>485</v>
      </c>
      <c r="F386" s="36">
        <v>254</v>
      </c>
      <c r="G386" s="37">
        <v>99</v>
      </c>
      <c r="H386">
        <v>594</v>
      </c>
      <c r="I386" s="31">
        <v>414</v>
      </c>
      <c r="J386" s="31">
        <v>489</v>
      </c>
      <c r="K386" s="7">
        <v>312.73999999999995</v>
      </c>
      <c r="L386" s="38">
        <v>355500</v>
      </c>
      <c r="M386" s="39">
        <v>252.125</v>
      </c>
      <c r="N386">
        <v>5</v>
      </c>
      <c r="O386" s="30">
        <f>Rådatakommune[[#This Row],[B17-O]]/Rådatakommune[[#This Row],[Totalareal2017-O]]</f>
        <v>3.5844471445929531</v>
      </c>
      <c r="P386" s="32">
        <f>Rådatakommune[[#This Row],[B17-O]]/Rådatakommune[[#This Row],[B07-O]]-1</f>
        <v>-8.564437194127239E-2</v>
      </c>
      <c r="Q386" s="32">
        <f>Rådatakommune[[#This Row],[Kvinner20-39-O]]/Rådatakommune[[#This Row],[B17-O]]</f>
        <v>8.8314005352363958E-2</v>
      </c>
      <c r="R386" s="32">
        <f>Rådatakommune[[#This Row],[Eldre67+-O]]/Rådatakommune[[#This Row],[B17-O]]</f>
        <v>0.22658340767172166</v>
      </c>
      <c r="S386" s="32">
        <f>Rådatakommune[[#This Row],[S16-O]]/Rådatakommune[[#This Row],[S06-O]]-1</f>
        <v>0.18115942028985499</v>
      </c>
      <c r="T386" s="32">
        <f>Rådatakommune[[#This Row],[Y16-O]]/Rådatakommune[[#This Row],[Folk20-64-O]]</f>
        <v>0.8164983164983165</v>
      </c>
    </row>
    <row r="387" spans="1:20" x14ac:dyDescent="0.25">
      <c r="A387" s="2" t="s">
        <v>335</v>
      </c>
      <c r="B387" s="2">
        <v>386</v>
      </c>
      <c r="C387" s="35">
        <v>1011</v>
      </c>
      <c r="D387" s="34">
        <v>1076</v>
      </c>
      <c r="E387" s="31">
        <v>431</v>
      </c>
      <c r="F387" s="36">
        <v>236</v>
      </c>
      <c r="G387" s="37">
        <v>96</v>
      </c>
      <c r="H387">
        <v>546</v>
      </c>
      <c r="I387" s="31">
        <v>349</v>
      </c>
      <c r="J387" s="31">
        <v>362</v>
      </c>
      <c r="K387" s="7">
        <v>301.64</v>
      </c>
      <c r="L387" s="38">
        <v>350000</v>
      </c>
      <c r="M387" s="39">
        <v>263.0625</v>
      </c>
      <c r="N387">
        <v>11</v>
      </c>
      <c r="O387" s="30">
        <f>Rådatakommune[[#This Row],[B17-O]]/Rådatakommune[[#This Row],[Totalareal2017-O]]</f>
        <v>3.5671661583344387</v>
      </c>
      <c r="P387" s="32">
        <f>Rådatakommune[[#This Row],[B17-O]]/Rådatakommune[[#This Row],[B07-O]]-1</f>
        <v>6.429277942631062E-2</v>
      </c>
      <c r="Q387" s="32">
        <f>Rådatakommune[[#This Row],[Kvinner20-39-O]]/Rådatakommune[[#This Row],[B17-O]]</f>
        <v>8.9219330855018583E-2</v>
      </c>
      <c r="R387" s="32">
        <f>Rådatakommune[[#This Row],[Eldre67+-O]]/Rådatakommune[[#This Row],[B17-O]]</f>
        <v>0.21933085501858737</v>
      </c>
      <c r="S387" s="32">
        <f>Rådatakommune[[#This Row],[S16-O]]/Rådatakommune[[#This Row],[S06-O]]-1</f>
        <v>3.7249283667621702E-2</v>
      </c>
      <c r="T387" s="32">
        <f>Rådatakommune[[#This Row],[Y16-O]]/Rådatakommune[[#This Row],[Folk20-64-O]]</f>
        <v>0.78937728937728935</v>
      </c>
    </row>
    <row r="388" spans="1:20" x14ac:dyDescent="0.25">
      <c r="A388" s="2" t="s">
        <v>336</v>
      </c>
      <c r="B388" s="2">
        <v>387</v>
      </c>
      <c r="C388" s="35">
        <v>3920</v>
      </c>
      <c r="D388" s="34">
        <v>3994</v>
      </c>
      <c r="E388" s="31">
        <v>2123</v>
      </c>
      <c r="F388" s="36">
        <v>675</v>
      </c>
      <c r="G388" s="37">
        <v>495</v>
      </c>
      <c r="H388">
        <v>2329</v>
      </c>
      <c r="I388" s="31">
        <v>1806</v>
      </c>
      <c r="J388" s="31">
        <v>1900</v>
      </c>
      <c r="K388" s="7">
        <v>2703.88</v>
      </c>
      <c r="L388" s="38">
        <v>404700</v>
      </c>
      <c r="M388" s="39">
        <v>234.6875</v>
      </c>
      <c r="N388">
        <v>9</v>
      </c>
      <c r="O388" s="30">
        <f>Rådatakommune[[#This Row],[B17-O]]/Rådatakommune[[#This Row],[Totalareal2017-O]]</f>
        <v>1.4771365593147625</v>
      </c>
      <c r="P388" s="32">
        <f>Rådatakommune[[#This Row],[B17-O]]/Rådatakommune[[#This Row],[B07-O]]-1</f>
        <v>1.8877551020408223E-2</v>
      </c>
      <c r="Q388" s="32">
        <f>Rådatakommune[[#This Row],[Kvinner20-39-O]]/Rådatakommune[[#This Row],[B17-O]]</f>
        <v>0.12393590385578368</v>
      </c>
      <c r="R388" s="32">
        <f>Rådatakommune[[#This Row],[Eldre67+-O]]/Rådatakommune[[#This Row],[B17-O]]</f>
        <v>0.16900350525788682</v>
      </c>
      <c r="S388" s="32">
        <f>Rådatakommune[[#This Row],[S16-O]]/Rådatakommune[[#This Row],[S06-O]]-1</f>
        <v>5.2048726467331052E-2</v>
      </c>
      <c r="T388" s="32">
        <f>Rådatakommune[[#This Row],[Y16-O]]/Rådatakommune[[#This Row],[Folk20-64-O]]</f>
        <v>0.91155002146844144</v>
      </c>
    </row>
    <row r="389" spans="1:20" x14ac:dyDescent="0.25">
      <c r="A389" s="2" t="s">
        <v>337</v>
      </c>
      <c r="B389" s="2">
        <v>388</v>
      </c>
      <c r="C389" s="35">
        <v>2232</v>
      </c>
      <c r="D389" s="34">
        <v>2220</v>
      </c>
      <c r="E389" s="31">
        <v>1034</v>
      </c>
      <c r="F389" s="36">
        <v>425</v>
      </c>
      <c r="G389" s="37">
        <v>198</v>
      </c>
      <c r="H389">
        <v>1209</v>
      </c>
      <c r="I389" s="31">
        <v>950</v>
      </c>
      <c r="J389" s="31">
        <v>1007</v>
      </c>
      <c r="K389" s="7">
        <v>457.96000000000004</v>
      </c>
      <c r="L389" s="38">
        <v>341800</v>
      </c>
      <c r="M389" s="39">
        <v>258.4375</v>
      </c>
      <c r="N389">
        <v>11</v>
      </c>
      <c r="O389" s="30">
        <f>Rådatakommune[[#This Row],[B17-O]]/Rådatakommune[[#This Row],[Totalareal2017-O]]</f>
        <v>4.8475849419163239</v>
      </c>
      <c r="P389" s="32">
        <f>Rådatakommune[[#This Row],[B17-O]]/Rådatakommune[[#This Row],[B07-O]]-1</f>
        <v>-5.3763440860215006E-3</v>
      </c>
      <c r="Q389" s="32">
        <f>Rådatakommune[[#This Row],[Kvinner20-39-O]]/Rådatakommune[[#This Row],[B17-O]]</f>
        <v>8.9189189189189194E-2</v>
      </c>
      <c r="R389" s="32">
        <f>Rådatakommune[[#This Row],[Eldre67+-O]]/Rådatakommune[[#This Row],[B17-O]]</f>
        <v>0.19144144144144143</v>
      </c>
      <c r="S389" s="32">
        <f>Rådatakommune[[#This Row],[S16-O]]/Rådatakommune[[#This Row],[S06-O]]-1</f>
        <v>6.0000000000000053E-2</v>
      </c>
      <c r="T389" s="32">
        <f>Rådatakommune[[#This Row],[Y16-O]]/Rådatakommune[[#This Row],[Folk20-64-O]]</f>
        <v>0.85525227460711328</v>
      </c>
    </row>
    <row r="390" spans="1:20" x14ac:dyDescent="0.25">
      <c r="A390" s="2" t="s">
        <v>338</v>
      </c>
      <c r="B390" s="2">
        <v>389</v>
      </c>
      <c r="C390" s="35">
        <v>6590</v>
      </c>
      <c r="D390" s="34">
        <v>6781</v>
      </c>
      <c r="E390" s="31">
        <v>3560</v>
      </c>
      <c r="F390" s="36">
        <v>1111</v>
      </c>
      <c r="G390" s="37">
        <v>790</v>
      </c>
      <c r="H390">
        <v>3923</v>
      </c>
      <c r="I390" s="31">
        <v>3667</v>
      </c>
      <c r="J390" s="31">
        <v>3730</v>
      </c>
      <c r="K390" s="7">
        <v>3326.21</v>
      </c>
      <c r="L390" s="38">
        <v>428200</v>
      </c>
      <c r="M390" s="39">
        <v>221.90625</v>
      </c>
      <c r="N390">
        <v>9</v>
      </c>
      <c r="O390" s="30">
        <f>Rådatakommune[[#This Row],[B17-O]]/Rådatakommune[[#This Row],[Totalareal2017-O]]</f>
        <v>2.0386566091738043</v>
      </c>
      <c r="P390" s="32">
        <f>Rådatakommune[[#This Row],[B17-O]]/Rådatakommune[[#This Row],[B07-O]]-1</f>
        <v>2.8983308042488609E-2</v>
      </c>
      <c r="Q390" s="32">
        <f>Rådatakommune[[#This Row],[Kvinner20-39-O]]/Rådatakommune[[#This Row],[B17-O]]</f>
        <v>0.11650199085680578</v>
      </c>
      <c r="R390" s="32">
        <f>Rådatakommune[[#This Row],[Eldre67+-O]]/Rådatakommune[[#This Row],[B17-O]]</f>
        <v>0.16384014157203952</v>
      </c>
      <c r="S390" s="32">
        <f>Rådatakommune[[#This Row],[S16-O]]/Rådatakommune[[#This Row],[S06-O]]-1</f>
        <v>1.7180256340332711E-2</v>
      </c>
      <c r="T390" s="32">
        <f>Rådatakommune[[#This Row],[Y16-O]]/Rådatakommune[[#This Row],[Folk20-64-O]]</f>
        <v>0.90746877389752745</v>
      </c>
    </row>
    <row r="391" spans="1:20" x14ac:dyDescent="0.25">
      <c r="A391" s="2" t="s">
        <v>339</v>
      </c>
      <c r="B391" s="2">
        <v>390</v>
      </c>
      <c r="C391" s="35">
        <v>3315</v>
      </c>
      <c r="D391" s="34">
        <v>3496</v>
      </c>
      <c r="E391" s="31">
        <v>1677</v>
      </c>
      <c r="F391" s="36">
        <v>572</v>
      </c>
      <c r="G391" s="37">
        <v>385</v>
      </c>
      <c r="H391">
        <v>1985</v>
      </c>
      <c r="I391" s="31">
        <v>1053</v>
      </c>
      <c r="J391" s="31">
        <v>1038</v>
      </c>
      <c r="K391" s="7">
        <v>361.17</v>
      </c>
      <c r="L391" s="38">
        <v>404500</v>
      </c>
      <c r="M391" s="39">
        <v>231.6875</v>
      </c>
      <c r="N391">
        <v>8</v>
      </c>
      <c r="O391" s="30">
        <f>Rådatakommune[[#This Row],[B17-O]]/Rådatakommune[[#This Row],[Totalareal2017-O]]</f>
        <v>9.6796522413267994</v>
      </c>
      <c r="P391" s="32">
        <f>Rådatakommune[[#This Row],[B17-O]]/Rådatakommune[[#This Row],[B07-O]]-1</f>
        <v>5.4600301659125217E-2</v>
      </c>
      <c r="Q391" s="32">
        <f>Rådatakommune[[#This Row],[Kvinner20-39-O]]/Rådatakommune[[#This Row],[B17-O]]</f>
        <v>0.1101258581235698</v>
      </c>
      <c r="R391" s="32">
        <f>Rådatakommune[[#This Row],[Eldre67+-O]]/Rådatakommune[[#This Row],[B17-O]]</f>
        <v>0.16361556064073227</v>
      </c>
      <c r="S391" s="32">
        <f>Rådatakommune[[#This Row],[S16-O]]/Rådatakommune[[#This Row],[S06-O]]-1</f>
        <v>-1.4245014245014231E-2</v>
      </c>
      <c r="T391" s="32">
        <f>Rådatakommune[[#This Row],[Y16-O]]/Rådatakommune[[#This Row],[Folk20-64-O]]</f>
        <v>0.84483627204030232</v>
      </c>
    </row>
    <row r="392" spans="1:20" x14ac:dyDescent="0.25">
      <c r="A392" s="2" t="s">
        <v>340</v>
      </c>
      <c r="B392" s="2">
        <v>391</v>
      </c>
      <c r="C392" s="35">
        <v>1265</v>
      </c>
      <c r="D392" s="34">
        <v>1138</v>
      </c>
      <c r="E392" s="31">
        <v>502</v>
      </c>
      <c r="F392" s="36">
        <v>254</v>
      </c>
      <c r="G392" s="37">
        <v>100</v>
      </c>
      <c r="H392">
        <v>617</v>
      </c>
      <c r="I392" s="31">
        <v>396</v>
      </c>
      <c r="J392" s="31">
        <v>352</v>
      </c>
      <c r="K392" s="7">
        <v>288.53999999999996</v>
      </c>
      <c r="L392" s="38">
        <v>360600</v>
      </c>
      <c r="M392" s="39">
        <v>255.8125</v>
      </c>
      <c r="N392">
        <v>8</v>
      </c>
      <c r="O392" s="30">
        <f>Rådatakommune[[#This Row],[B17-O]]/Rådatakommune[[#This Row],[Totalareal2017-O]]</f>
        <v>3.9439939003257787</v>
      </c>
      <c r="P392" s="32">
        <f>Rådatakommune[[#This Row],[B17-O]]/Rådatakommune[[#This Row],[B07-O]]-1</f>
        <v>-0.10039525691699602</v>
      </c>
      <c r="Q392" s="32">
        <f>Rådatakommune[[#This Row],[Kvinner20-39-O]]/Rådatakommune[[#This Row],[B17-O]]</f>
        <v>8.7873462214411252E-2</v>
      </c>
      <c r="R392" s="32">
        <f>Rådatakommune[[#This Row],[Eldre67+-O]]/Rådatakommune[[#This Row],[B17-O]]</f>
        <v>0.22319859402460457</v>
      </c>
      <c r="S392" s="32">
        <f>Rådatakommune[[#This Row],[S16-O]]/Rådatakommune[[#This Row],[S06-O]]-1</f>
        <v>-0.11111111111111116</v>
      </c>
      <c r="T392" s="32">
        <f>Rådatakommune[[#This Row],[Y16-O]]/Rådatakommune[[#This Row],[Folk20-64-O]]</f>
        <v>0.81361426256077796</v>
      </c>
    </row>
    <row r="393" spans="1:20" x14ac:dyDescent="0.25">
      <c r="A393" s="2" t="s">
        <v>341</v>
      </c>
      <c r="B393" s="2">
        <v>392</v>
      </c>
      <c r="C393" s="35">
        <v>1570</v>
      </c>
      <c r="D393" s="34">
        <v>1540</v>
      </c>
      <c r="E393" s="31">
        <v>685</v>
      </c>
      <c r="F393" s="36">
        <v>359</v>
      </c>
      <c r="G393" s="37">
        <v>140</v>
      </c>
      <c r="H393">
        <v>813</v>
      </c>
      <c r="I393" s="31">
        <v>529</v>
      </c>
      <c r="J393" s="31">
        <v>436</v>
      </c>
      <c r="K393" s="7">
        <v>523.87</v>
      </c>
      <c r="L393" s="38">
        <v>364900</v>
      </c>
      <c r="M393" s="39">
        <v>265.9375</v>
      </c>
      <c r="N393">
        <v>8</v>
      </c>
      <c r="O393" s="30">
        <f>Rådatakommune[[#This Row],[B17-O]]/Rådatakommune[[#This Row],[Totalareal2017-O]]</f>
        <v>2.9396606028213106</v>
      </c>
      <c r="P393" s="32">
        <f>Rådatakommune[[#This Row],[B17-O]]/Rådatakommune[[#This Row],[B07-O]]-1</f>
        <v>-1.9108280254777066E-2</v>
      </c>
      <c r="Q393" s="32">
        <f>Rådatakommune[[#This Row],[Kvinner20-39-O]]/Rådatakommune[[#This Row],[B17-O]]</f>
        <v>9.0909090909090912E-2</v>
      </c>
      <c r="R393" s="32">
        <f>Rådatakommune[[#This Row],[Eldre67+-O]]/Rådatakommune[[#This Row],[B17-O]]</f>
        <v>0.23311688311688311</v>
      </c>
      <c r="S393" s="32">
        <f>Rådatakommune[[#This Row],[S16-O]]/Rådatakommune[[#This Row],[S06-O]]-1</f>
        <v>-0.17580340264650285</v>
      </c>
      <c r="T393" s="32">
        <f>Rådatakommune[[#This Row],[Y16-O]]/Rådatakommune[[#This Row],[Folk20-64-O]]</f>
        <v>0.84255842558425587</v>
      </c>
    </row>
    <row r="394" spans="1:20" x14ac:dyDescent="0.25">
      <c r="A394" s="2" t="s">
        <v>342</v>
      </c>
      <c r="B394" s="2">
        <v>393</v>
      </c>
      <c r="C394" s="35">
        <v>978</v>
      </c>
      <c r="D394" s="34">
        <v>921</v>
      </c>
      <c r="E394" s="31">
        <v>398</v>
      </c>
      <c r="F394" s="36">
        <v>221</v>
      </c>
      <c r="G394" s="37">
        <v>85</v>
      </c>
      <c r="H394">
        <v>488</v>
      </c>
      <c r="I394" s="31">
        <v>415</v>
      </c>
      <c r="J394" s="31">
        <v>401</v>
      </c>
      <c r="K394" s="7">
        <v>243.42000000000002</v>
      </c>
      <c r="L394" s="38">
        <v>357900</v>
      </c>
      <c r="M394" s="39">
        <v>300.625</v>
      </c>
      <c r="N394">
        <v>11</v>
      </c>
      <c r="O394" s="30">
        <f>Rådatakommune[[#This Row],[B17-O]]/Rådatakommune[[#This Row],[Totalareal2017-O]]</f>
        <v>3.7835839290115847</v>
      </c>
      <c r="P394" s="32">
        <f>Rådatakommune[[#This Row],[B17-O]]/Rådatakommune[[#This Row],[B07-O]]-1</f>
        <v>-5.8282208588957052E-2</v>
      </c>
      <c r="Q394" s="32">
        <f>Rådatakommune[[#This Row],[Kvinner20-39-O]]/Rådatakommune[[#This Row],[B17-O]]</f>
        <v>9.2290988056460369E-2</v>
      </c>
      <c r="R394" s="32">
        <f>Rådatakommune[[#This Row],[Eldre67+-O]]/Rådatakommune[[#This Row],[B17-O]]</f>
        <v>0.23995656894679696</v>
      </c>
      <c r="S394" s="32">
        <f>Rådatakommune[[#This Row],[S16-O]]/Rådatakommune[[#This Row],[S06-O]]-1</f>
        <v>-3.3734939759036187E-2</v>
      </c>
      <c r="T394" s="32">
        <f>Rådatakommune[[#This Row],[Y16-O]]/Rådatakommune[[#This Row],[Folk20-64-O]]</f>
        <v>0.81557377049180324</v>
      </c>
    </row>
    <row r="395" spans="1:20" x14ac:dyDescent="0.25">
      <c r="A395" s="2" t="s">
        <v>343</v>
      </c>
      <c r="B395" s="2">
        <v>394</v>
      </c>
      <c r="C395" s="35">
        <v>962</v>
      </c>
      <c r="D395" s="34">
        <v>914</v>
      </c>
      <c r="E395" s="31">
        <v>440</v>
      </c>
      <c r="F395" s="36">
        <v>185</v>
      </c>
      <c r="G395" s="37">
        <v>106</v>
      </c>
      <c r="H395">
        <v>533</v>
      </c>
      <c r="I395" s="31">
        <v>401</v>
      </c>
      <c r="J395" s="31">
        <v>455</v>
      </c>
      <c r="K395" s="7">
        <v>293.89</v>
      </c>
      <c r="L395" s="38">
        <v>370600</v>
      </c>
      <c r="M395" s="39">
        <v>298.625</v>
      </c>
      <c r="N395">
        <v>11</v>
      </c>
      <c r="O395" s="30">
        <f>Rådatakommune[[#This Row],[B17-O]]/Rådatakommune[[#This Row],[Totalareal2017-O]]</f>
        <v>3.1100071455306408</v>
      </c>
      <c r="P395" s="32">
        <f>Rådatakommune[[#This Row],[B17-O]]/Rådatakommune[[#This Row],[B07-O]]-1</f>
        <v>-4.9896049896049899E-2</v>
      </c>
      <c r="Q395" s="32">
        <f>Rådatakommune[[#This Row],[Kvinner20-39-O]]/Rådatakommune[[#This Row],[B17-O]]</f>
        <v>0.11597374179431072</v>
      </c>
      <c r="R395" s="32">
        <f>Rådatakommune[[#This Row],[Eldre67+-O]]/Rådatakommune[[#This Row],[B17-O]]</f>
        <v>0.2024070021881838</v>
      </c>
      <c r="S395" s="32">
        <f>Rådatakommune[[#This Row],[S16-O]]/Rådatakommune[[#This Row],[S06-O]]-1</f>
        <v>0.13466334164588534</v>
      </c>
      <c r="T395" s="32">
        <f>Rådatakommune[[#This Row],[Y16-O]]/Rådatakommune[[#This Row],[Folk20-64-O]]</f>
        <v>0.82551594746716694</v>
      </c>
    </row>
    <row r="396" spans="1:20" x14ac:dyDescent="0.25">
      <c r="A396" s="2" t="s">
        <v>344</v>
      </c>
      <c r="B396" s="2">
        <v>395</v>
      </c>
      <c r="C396" s="35">
        <v>11027</v>
      </c>
      <c r="D396" s="34">
        <v>11697</v>
      </c>
      <c r="E396" s="31">
        <v>5558</v>
      </c>
      <c r="F396" s="36">
        <v>1803</v>
      </c>
      <c r="G396" s="37">
        <v>1302</v>
      </c>
      <c r="H396">
        <v>6583</v>
      </c>
      <c r="I396" s="31">
        <v>5412</v>
      </c>
      <c r="J396" s="31">
        <v>6146</v>
      </c>
      <c r="K396" s="7">
        <v>892.69</v>
      </c>
      <c r="L396" s="38">
        <v>402800</v>
      </c>
      <c r="M396" s="39">
        <v>248.5625</v>
      </c>
      <c r="N396">
        <v>8</v>
      </c>
      <c r="O396" s="30">
        <f>Rådatakommune[[#This Row],[B17-O]]/Rådatakommune[[#This Row],[Totalareal2017-O]]</f>
        <v>13.10309289899069</v>
      </c>
      <c r="P396" s="32">
        <f>Rådatakommune[[#This Row],[B17-O]]/Rådatakommune[[#This Row],[B07-O]]-1</f>
        <v>6.0759952843021603E-2</v>
      </c>
      <c r="Q396" s="32">
        <f>Rådatakommune[[#This Row],[Kvinner20-39-O]]/Rådatakommune[[#This Row],[B17-O]]</f>
        <v>0.11131059245960502</v>
      </c>
      <c r="R396" s="32">
        <f>Rådatakommune[[#This Row],[Eldre67+-O]]/Rådatakommune[[#This Row],[B17-O]]</f>
        <v>0.15414208771479868</v>
      </c>
      <c r="S396" s="32">
        <f>Rådatakommune[[#This Row],[S16-O]]/Rådatakommune[[#This Row],[S06-O]]-1</f>
        <v>0.13562453806356256</v>
      </c>
      <c r="T396" s="32">
        <f>Rådatakommune[[#This Row],[Y16-O]]/Rådatakommune[[#This Row],[Folk20-64-O]]</f>
        <v>0.84429591371715018</v>
      </c>
    </row>
    <row r="397" spans="1:20" x14ac:dyDescent="0.25">
      <c r="A397" s="2" t="s">
        <v>345</v>
      </c>
      <c r="B397" s="2">
        <v>396</v>
      </c>
      <c r="C397" s="35">
        <v>5569</v>
      </c>
      <c r="D397" s="34">
        <v>5685</v>
      </c>
      <c r="E397" s="31">
        <v>2687</v>
      </c>
      <c r="F397" s="36">
        <v>1203</v>
      </c>
      <c r="G397" s="37">
        <v>552</v>
      </c>
      <c r="H397">
        <v>3088</v>
      </c>
      <c r="I397" s="31">
        <v>2257</v>
      </c>
      <c r="J397" s="31">
        <v>2379</v>
      </c>
      <c r="K397" s="7">
        <v>1496.9099999999999</v>
      </c>
      <c r="L397" s="38">
        <v>369000</v>
      </c>
      <c r="M397" s="39">
        <v>250.875</v>
      </c>
      <c r="N397">
        <v>5</v>
      </c>
      <c r="O397" s="30">
        <f>Rådatakommune[[#This Row],[B17-O]]/Rådatakommune[[#This Row],[Totalareal2017-O]]</f>
        <v>3.7978235164438749</v>
      </c>
      <c r="P397" s="32">
        <f>Rådatakommune[[#This Row],[B17-O]]/Rådatakommune[[#This Row],[B07-O]]-1</f>
        <v>2.0829592386424789E-2</v>
      </c>
      <c r="Q397" s="32">
        <f>Rådatakommune[[#This Row],[Kvinner20-39-O]]/Rådatakommune[[#This Row],[B17-O]]</f>
        <v>9.7097625329815307E-2</v>
      </c>
      <c r="R397" s="32">
        <f>Rådatakommune[[#This Row],[Eldre67+-O]]/Rådatakommune[[#This Row],[B17-O]]</f>
        <v>0.21160949868073878</v>
      </c>
      <c r="S397" s="32">
        <f>Rådatakommune[[#This Row],[S16-O]]/Rådatakommune[[#This Row],[S06-O]]-1</f>
        <v>5.4054054054053946E-2</v>
      </c>
      <c r="T397" s="32">
        <f>Rådatakommune[[#This Row],[Y16-O]]/Rådatakommune[[#This Row],[Folk20-64-O]]</f>
        <v>0.87014248704663211</v>
      </c>
    </row>
    <row r="398" spans="1:20" x14ac:dyDescent="0.25">
      <c r="A398" s="2" t="s">
        <v>346</v>
      </c>
      <c r="B398" s="2">
        <v>397</v>
      </c>
      <c r="C398" s="35">
        <v>2344</v>
      </c>
      <c r="D398" s="34">
        <v>2273</v>
      </c>
      <c r="E398" s="31">
        <v>1072</v>
      </c>
      <c r="F398" s="36">
        <v>524</v>
      </c>
      <c r="G398" s="37">
        <v>228</v>
      </c>
      <c r="H398">
        <v>1279</v>
      </c>
      <c r="I398" s="31">
        <v>939</v>
      </c>
      <c r="J398" s="31">
        <v>914</v>
      </c>
      <c r="K398" s="7">
        <v>1091.5900000000001</v>
      </c>
      <c r="L398" s="38">
        <v>371400</v>
      </c>
      <c r="M398" s="39">
        <v>261.0625</v>
      </c>
      <c r="N398">
        <v>4</v>
      </c>
      <c r="O398" s="30">
        <f>Rådatakommune[[#This Row],[B17-O]]/Rådatakommune[[#This Row],[Totalareal2017-O]]</f>
        <v>2.0822836412938921</v>
      </c>
      <c r="P398" s="32">
        <f>Rådatakommune[[#This Row],[B17-O]]/Rådatakommune[[#This Row],[B07-O]]-1</f>
        <v>-3.0290102389078477E-2</v>
      </c>
      <c r="Q398" s="32">
        <f>Rådatakommune[[#This Row],[Kvinner20-39-O]]/Rådatakommune[[#This Row],[B17-O]]</f>
        <v>0.10030796304443466</v>
      </c>
      <c r="R398" s="32">
        <f>Rådatakommune[[#This Row],[Eldre67+-O]]/Rådatakommune[[#This Row],[B17-O]]</f>
        <v>0.23053233611966564</v>
      </c>
      <c r="S398" s="32">
        <f>Rådatakommune[[#This Row],[S16-O]]/Rådatakommune[[#This Row],[S06-O]]-1</f>
        <v>-2.6624068157614533E-2</v>
      </c>
      <c r="T398" s="32">
        <f>Rådatakommune[[#This Row],[Y16-O]]/Rådatakommune[[#This Row],[Folk20-64-O]]</f>
        <v>0.83815480844409695</v>
      </c>
    </row>
    <row r="399" spans="1:20" x14ac:dyDescent="0.25">
      <c r="A399" s="2" t="s">
        <v>347</v>
      </c>
      <c r="B399" s="2">
        <v>398</v>
      </c>
      <c r="C399" s="35">
        <v>3199</v>
      </c>
      <c r="D399" s="34">
        <v>2876</v>
      </c>
      <c r="E399" s="31">
        <v>1302</v>
      </c>
      <c r="F399" s="36">
        <v>666</v>
      </c>
      <c r="G399" s="37">
        <v>235</v>
      </c>
      <c r="H399">
        <v>1509</v>
      </c>
      <c r="I399" s="31">
        <v>1223</v>
      </c>
      <c r="J399" s="31">
        <v>1112</v>
      </c>
      <c r="K399" s="7">
        <v>812.56</v>
      </c>
      <c r="L399" s="38">
        <v>376000</v>
      </c>
      <c r="M399" s="39">
        <v>302.3125</v>
      </c>
      <c r="N399">
        <v>11</v>
      </c>
      <c r="O399" s="30">
        <f>Rådatakommune[[#This Row],[B17-O]]/Rådatakommune[[#This Row],[Totalareal2017-O]]</f>
        <v>3.5394309343310035</v>
      </c>
      <c r="P399" s="32">
        <f>Rådatakommune[[#This Row],[B17-O]]/Rådatakommune[[#This Row],[B07-O]]-1</f>
        <v>-0.10096905282900903</v>
      </c>
      <c r="Q399" s="32">
        <f>Rådatakommune[[#This Row],[Kvinner20-39-O]]/Rådatakommune[[#This Row],[B17-O]]</f>
        <v>8.1710709318497915E-2</v>
      </c>
      <c r="R399" s="32">
        <f>Rådatakommune[[#This Row],[Eldre67+-O]]/Rådatakommune[[#This Row],[B17-O]]</f>
        <v>0.23157162726008346</v>
      </c>
      <c r="S399" s="32">
        <f>Rådatakommune[[#This Row],[S16-O]]/Rådatakommune[[#This Row],[S06-O]]-1</f>
        <v>-9.076042518397387E-2</v>
      </c>
      <c r="T399" s="32">
        <f>Rådatakommune[[#This Row],[Y16-O]]/Rådatakommune[[#This Row],[Folk20-64-O]]</f>
        <v>0.86282306163021871</v>
      </c>
    </row>
    <row r="400" spans="1:20" x14ac:dyDescent="0.25">
      <c r="A400" s="2" t="s">
        <v>348</v>
      </c>
      <c r="B400" s="2">
        <v>399</v>
      </c>
      <c r="C400" s="35">
        <v>1911</v>
      </c>
      <c r="D400" s="34">
        <v>1890</v>
      </c>
      <c r="E400" s="31">
        <v>891</v>
      </c>
      <c r="F400" s="36">
        <v>352</v>
      </c>
      <c r="G400" s="37">
        <v>186</v>
      </c>
      <c r="H400">
        <v>1066</v>
      </c>
      <c r="I400" s="31">
        <v>669</v>
      </c>
      <c r="J400" s="31">
        <v>720</v>
      </c>
      <c r="K400" s="7">
        <v>1542.83</v>
      </c>
      <c r="L400" s="38">
        <v>363000</v>
      </c>
      <c r="M400" s="39">
        <v>276.3125</v>
      </c>
      <c r="N400">
        <v>10</v>
      </c>
      <c r="O400" s="30">
        <f>Rådatakommune[[#This Row],[B17-O]]/Rådatakommune[[#This Row],[Totalareal2017-O]]</f>
        <v>1.2250215513050693</v>
      </c>
      <c r="P400" s="32">
        <f>Rådatakommune[[#This Row],[B17-O]]/Rådatakommune[[#This Row],[B07-O]]-1</f>
        <v>-1.098901098901095E-2</v>
      </c>
      <c r="Q400" s="32">
        <f>Rådatakommune[[#This Row],[Kvinner20-39-O]]/Rådatakommune[[#This Row],[B17-O]]</f>
        <v>9.841269841269841E-2</v>
      </c>
      <c r="R400" s="32">
        <f>Rådatakommune[[#This Row],[Eldre67+-O]]/Rådatakommune[[#This Row],[B17-O]]</f>
        <v>0.18624338624338624</v>
      </c>
      <c r="S400" s="32">
        <f>Rådatakommune[[#This Row],[S16-O]]/Rådatakommune[[#This Row],[S06-O]]-1</f>
        <v>7.623318385650224E-2</v>
      </c>
      <c r="T400" s="32">
        <f>Rådatakommune[[#This Row],[Y16-O]]/Rådatakommune[[#This Row],[Folk20-64-O]]</f>
        <v>0.8358348968105066</v>
      </c>
    </row>
    <row r="401" spans="1:20" x14ac:dyDescent="0.25">
      <c r="A401" s="2" t="s">
        <v>349</v>
      </c>
      <c r="B401" s="2">
        <v>400</v>
      </c>
      <c r="C401" s="35">
        <v>2220</v>
      </c>
      <c r="D401" s="34">
        <v>2132</v>
      </c>
      <c r="E401" s="31">
        <v>983</v>
      </c>
      <c r="F401" s="36">
        <v>482</v>
      </c>
      <c r="G401" s="37">
        <v>206</v>
      </c>
      <c r="H401">
        <v>1171</v>
      </c>
      <c r="I401" s="31">
        <v>710</v>
      </c>
      <c r="J401" s="31">
        <v>747</v>
      </c>
      <c r="K401" s="7">
        <v>991.18000000000006</v>
      </c>
      <c r="L401" s="38">
        <v>334100</v>
      </c>
      <c r="M401" s="39">
        <v>308</v>
      </c>
      <c r="N401">
        <v>11</v>
      </c>
      <c r="O401" s="30">
        <f>Rådatakommune[[#This Row],[B17-O]]/Rådatakommune[[#This Row],[Totalareal2017-O]]</f>
        <v>2.1509715692407028</v>
      </c>
      <c r="P401" s="32">
        <f>Rådatakommune[[#This Row],[B17-O]]/Rådatakommune[[#This Row],[B07-O]]-1</f>
        <v>-3.9639639639639679E-2</v>
      </c>
      <c r="Q401" s="32">
        <f>Rådatakommune[[#This Row],[Kvinner20-39-O]]/Rådatakommune[[#This Row],[B17-O]]</f>
        <v>9.662288930581614E-2</v>
      </c>
      <c r="R401" s="32">
        <f>Rådatakommune[[#This Row],[Eldre67+-O]]/Rådatakommune[[#This Row],[B17-O]]</f>
        <v>0.22607879924953095</v>
      </c>
      <c r="S401" s="32">
        <f>Rådatakommune[[#This Row],[S16-O]]/Rådatakommune[[#This Row],[S06-O]]-1</f>
        <v>5.2112676056337959E-2</v>
      </c>
      <c r="T401" s="32">
        <f>Rådatakommune[[#This Row],[Y16-O]]/Rådatakommune[[#This Row],[Folk20-64-O]]</f>
        <v>0.83945345858240816</v>
      </c>
    </row>
    <row r="402" spans="1:20" x14ac:dyDescent="0.25">
      <c r="A402" s="2" t="s">
        <v>350</v>
      </c>
      <c r="B402" s="2">
        <v>401</v>
      </c>
      <c r="C402" s="35">
        <v>2966</v>
      </c>
      <c r="D402" s="34">
        <v>2912</v>
      </c>
      <c r="E402" s="31">
        <v>1367</v>
      </c>
      <c r="F402" s="36">
        <v>565</v>
      </c>
      <c r="G402" s="37">
        <v>344</v>
      </c>
      <c r="H402">
        <v>1631</v>
      </c>
      <c r="I402" s="31">
        <v>1221</v>
      </c>
      <c r="J402" s="31">
        <v>1278</v>
      </c>
      <c r="K402" s="7">
        <v>473.7</v>
      </c>
      <c r="L402" s="38">
        <v>376500</v>
      </c>
      <c r="M402" s="39">
        <v>306.25</v>
      </c>
      <c r="N402">
        <v>9</v>
      </c>
      <c r="O402" s="30">
        <f>Rådatakommune[[#This Row],[B17-O]]/Rådatakommune[[#This Row],[Totalareal2017-O]]</f>
        <v>6.1473506438674264</v>
      </c>
      <c r="P402" s="32">
        <f>Rådatakommune[[#This Row],[B17-O]]/Rådatakommune[[#This Row],[B07-O]]-1</f>
        <v>-1.8206338503034436E-2</v>
      </c>
      <c r="Q402" s="32">
        <f>Rådatakommune[[#This Row],[Kvinner20-39-O]]/Rådatakommune[[#This Row],[B17-O]]</f>
        <v>0.11813186813186813</v>
      </c>
      <c r="R402" s="32">
        <f>Rådatakommune[[#This Row],[Eldre67+-O]]/Rådatakommune[[#This Row],[B17-O]]</f>
        <v>0.19402472527472528</v>
      </c>
      <c r="S402" s="32">
        <f>Rådatakommune[[#This Row],[S16-O]]/Rådatakommune[[#This Row],[S06-O]]-1</f>
        <v>4.6683046683046792E-2</v>
      </c>
      <c r="T402" s="32">
        <f>Rådatakommune[[#This Row],[Y16-O]]/Rådatakommune[[#This Row],[Folk20-64-O]]</f>
        <v>0.8381361128142244</v>
      </c>
    </row>
    <row r="403" spans="1:20" x14ac:dyDescent="0.25">
      <c r="A403" s="2" t="s">
        <v>351</v>
      </c>
      <c r="B403" s="2">
        <v>402</v>
      </c>
      <c r="C403" s="35">
        <v>4699</v>
      </c>
      <c r="D403" s="34">
        <v>4919</v>
      </c>
      <c r="E403" s="31">
        <v>2273</v>
      </c>
      <c r="F403" s="36">
        <v>855</v>
      </c>
      <c r="G403" s="37">
        <v>547</v>
      </c>
      <c r="H403">
        <v>2743</v>
      </c>
      <c r="I403" s="31">
        <v>2152</v>
      </c>
      <c r="J403" s="31">
        <v>2091</v>
      </c>
      <c r="K403" s="7">
        <v>3437.46</v>
      </c>
      <c r="L403" s="38">
        <v>376200</v>
      </c>
      <c r="M403" s="39">
        <v>274.4375</v>
      </c>
      <c r="N403">
        <v>9</v>
      </c>
      <c r="O403" s="30">
        <f>Rådatakommune[[#This Row],[B17-O]]/Rådatakommune[[#This Row],[Totalareal2017-O]]</f>
        <v>1.4309984698003759</v>
      </c>
      <c r="P403" s="32">
        <f>Rådatakommune[[#This Row],[B17-O]]/Rådatakommune[[#This Row],[B07-O]]-1</f>
        <v>4.681847201532241E-2</v>
      </c>
      <c r="Q403" s="32">
        <f>Rådatakommune[[#This Row],[Kvinner20-39-O]]/Rådatakommune[[#This Row],[B17-O]]</f>
        <v>0.11120146371213661</v>
      </c>
      <c r="R403" s="32">
        <f>Rådatakommune[[#This Row],[Eldre67+-O]]/Rådatakommune[[#This Row],[B17-O]]</f>
        <v>0.1738158162228095</v>
      </c>
      <c r="S403" s="32">
        <f>Rådatakommune[[#This Row],[S16-O]]/Rådatakommune[[#This Row],[S06-O]]-1</f>
        <v>-2.8345724907063219E-2</v>
      </c>
      <c r="T403" s="32">
        <f>Rådatakommune[[#This Row],[Y16-O]]/Rådatakommune[[#This Row],[Folk20-64-O]]</f>
        <v>0.82865475756471019</v>
      </c>
    </row>
    <row r="404" spans="1:20" x14ac:dyDescent="0.25">
      <c r="A404" s="2" t="s">
        <v>352</v>
      </c>
      <c r="B404" s="2">
        <v>403</v>
      </c>
      <c r="C404" s="35">
        <v>1351</v>
      </c>
      <c r="D404" s="34">
        <v>1233</v>
      </c>
      <c r="E404" s="31">
        <v>537</v>
      </c>
      <c r="F404" s="36">
        <v>287</v>
      </c>
      <c r="G404" s="37">
        <v>114</v>
      </c>
      <c r="H404">
        <v>656</v>
      </c>
      <c r="I404" s="31">
        <v>536</v>
      </c>
      <c r="J404" s="31">
        <v>450</v>
      </c>
      <c r="K404" s="7">
        <v>2109.48</v>
      </c>
      <c r="L404" s="38">
        <v>368900</v>
      </c>
      <c r="M404" s="39">
        <v>292.375</v>
      </c>
      <c r="N404">
        <v>11</v>
      </c>
      <c r="O404" s="30">
        <f>Rådatakommune[[#This Row],[B17-O]]/Rådatakommune[[#This Row],[Totalareal2017-O]]</f>
        <v>0.58450423801126339</v>
      </c>
      <c r="P404" s="32">
        <f>Rådatakommune[[#This Row],[B17-O]]/Rådatakommune[[#This Row],[B07-O]]-1</f>
        <v>-8.7342709104367144E-2</v>
      </c>
      <c r="Q404" s="32">
        <f>Rådatakommune[[#This Row],[Kvinner20-39-O]]/Rådatakommune[[#This Row],[B17-O]]</f>
        <v>9.2457420924574207E-2</v>
      </c>
      <c r="R404" s="32">
        <f>Rådatakommune[[#This Row],[Eldre67+-O]]/Rådatakommune[[#This Row],[B17-O]]</f>
        <v>0.23276561232765614</v>
      </c>
      <c r="S404" s="32">
        <f>Rådatakommune[[#This Row],[S16-O]]/Rådatakommune[[#This Row],[S06-O]]-1</f>
        <v>-0.16044776119402981</v>
      </c>
      <c r="T404" s="32">
        <f>Rådatakommune[[#This Row],[Y16-O]]/Rådatakommune[[#This Row],[Folk20-64-O]]</f>
        <v>0.81859756097560976</v>
      </c>
    </row>
    <row r="405" spans="1:20" x14ac:dyDescent="0.25">
      <c r="A405" s="2" t="s">
        <v>353</v>
      </c>
      <c r="B405" s="2">
        <v>404</v>
      </c>
      <c r="C405" s="35">
        <v>2286</v>
      </c>
      <c r="D405" s="34">
        <v>2104</v>
      </c>
      <c r="E405" s="31">
        <v>955</v>
      </c>
      <c r="F405" s="36">
        <v>409</v>
      </c>
      <c r="G405" s="37">
        <v>211</v>
      </c>
      <c r="H405">
        <v>1281</v>
      </c>
      <c r="I405" s="31">
        <v>931</v>
      </c>
      <c r="J405" s="31">
        <v>917</v>
      </c>
      <c r="K405" s="7">
        <v>600.61</v>
      </c>
      <c r="L405" s="38">
        <v>359400</v>
      </c>
      <c r="M405" s="39">
        <v>302.125</v>
      </c>
      <c r="N405">
        <v>11</v>
      </c>
      <c r="O405" s="30">
        <f>Rådatakommune[[#This Row],[B17-O]]/Rådatakommune[[#This Row],[Totalareal2017-O]]</f>
        <v>3.5031051764039893</v>
      </c>
      <c r="P405" s="32">
        <f>Rådatakommune[[#This Row],[B17-O]]/Rådatakommune[[#This Row],[B07-O]]-1</f>
        <v>-7.9615048118985121E-2</v>
      </c>
      <c r="Q405" s="32">
        <f>Rådatakommune[[#This Row],[Kvinner20-39-O]]/Rådatakommune[[#This Row],[B17-O]]</f>
        <v>0.10028517110266159</v>
      </c>
      <c r="R405" s="32">
        <f>Rådatakommune[[#This Row],[Eldre67+-O]]/Rådatakommune[[#This Row],[B17-O]]</f>
        <v>0.1943916349809886</v>
      </c>
      <c r="S405" s="32">
        <f>Rådatakommune[[#This Row],[S16-O]]/Rådatakommune[[#This Row],[S06-O]]-1</f>
        <v>-1.5037593984962405E-2</v>
      </c>
      <c r="T405" s="32">
        <f>Rådatakommune[[#This Row],[Y16-O]]/Rådatakommune[[#This Row],[Folk20-64-O]]</f>
        <v>0.74551131928181114</v>
      </c>
    </row>
    <row r="406" spans="1:20" x14ac:dyDescent="0.25">
      <c r="A406" s="2" t="s">
        <v>354</v>
      </c>
      <c r="B406" s="2">
        <v>405</v>
      </c>
      <c r="C406" s="35">
        <v>6124</v>
      </c>
      <c r="D406" s="34">
        <v>6154</v>
      </c>
      <c r="E406" s="31">
        <v>2938</v>
      </c>
      <c r="F406" s="36">
        <v>932</v>
      </c>
      <c r="G406" s="37">
        <v>683</v>
      </c>
      <c r="H406">
        <v>3550</v>
      </c>
      <c r="I406" s="31">
        <v>3155</v>
      </c>
      <c r="J406" s="31">
        <v>3008</v>
      </c>
      <c r="K406" s="7">
        <v>1257.8400000000001</v>
      </c>
      <c r="L406" s="38">
        <v>381300</v>
      </c>
      <c r="M406" s="39">
        <v>316.25</v>
      </c>
      <c r="N406">
        <v>7</v>
      </c>
      <c r="O406" s="30">
        <f>Rådatakommune[[#This Row],[B17-O]]/Rådatakommune[[#This Row],[Totalareal2017-O]]</f>
        <v>4.8925141512434012</v>
      </c>
      <c r="P406" s="32">
        <f>Rådatakommune[[#This Row],[B17-O]]/Rådatakommune[[#This Row],[B07-O]]-1</f>
        <v>4.8987589810580712E-3</v>
      </c>
      <c r="Q406" s="32">
        <f>Rådatakommune[[#This Row],[Kvinner20-39-O]]/Rådatakommune[[#This Row],[B17-O]]</f>
        <v>0.11098472538186545</v>
      </c>
      <c r="R406" s="32">
        <f>Rådatakommune[[#This Row],[Eldre67+-O]]/Rådatakommune[[#This Row],[B17-O]]</f>
        <v>0.15144621384465387</v>
      </c>
      <c r="S406" s="32">
        <f>Rådatakommune[[#This Row],[S16-O]]/Rådatakommune[[#This Row],[S06-O]]-1</f>
        <v>-4.6592709984152103E-2</v>
      </c>
      <c r="T406" s="32">
        <f>Rådatakommune[[#This Row],[Y16-O]]/Rådatakommune[[#This Row],[Folk20-64-O]]</f>
        <v>0.82760563380281693</v>
      </c>
    </row>
    <row r="407" spans="1:20" x14ac:dyDescent="0.25">
      <c r="A407" s="2" t="s">
        <v>355</v>
      </c>
      <c r="B407" s="2">
        <v>406</v>
      </c>
      <c r="C407" s="35">
        <v>9391</v>
      </c>
      <c r="D407" s="34">
        <v>10527</v>
      </c>
      <c r="E407" s="31">
        <v>5576</v>
      </c>
      <c r="F407" s="36">
        <v>1341</v>
      </c>
      <c r="G407" s="37">
        <v>1445</v>
      </c>
      <c r="H407">
        <v>6425</v>
      </c>
      <c r="I407" s="31">
        <v>5592</v>
      </c>
      <c r="J407" s="31">
        <v>5737</v>
      </c>
      <c r="K407" s="7">
        <v>848.2</v>
      </c>
      <c r="L407" s="38">
        <v>436700</v>
      </c>
      <c r="M407" s="39">
        <v>281.375</v>
      </c>
      <c r="N407">
        <v>6</v>
      </c>
      <c r="O407" s="30">
        <f>Rådatakommune[[#This Row],[B17-O]]/Rådatakommune[[#This Row],[Totalareal2017-O]]</f>
        <v>12.410987974534308</v>
      </c>
      <c r="P407" s="32">
        <f>Rådatakommune[[#This Row],[B17-O]]/Rådatakommune[[#This Row],[B07-O]]-1</f>
        <v>0.12096688318602911</v>
      </c>
      <c r="Q407" s="32">
        <f>Rådatakommune[[#This Row],[Kvinner20-39-O]]/Rådatakommune[[#This Row],[B17-O]]</f>
        <v>0.13726607770494917</v>
      </c>
      <c r="R407" s="32">
        <f>Rådatakommune[[#This Row],[Eldre67+-O]]/Rådatakommune[[#This Row],[B17-O]]</f>
        <v>0.1273867198632089</v>
      </c>
      <c r="S407" s="32">
        <f>Rådatakommune[[#This Row],[S16-O]]/Rådatakommune[[#This Row],[S06-O]]-1</f>
        <v>2.5929899856938388E-2</v>
      </c>
      <c r="T407" s="32">
        <f>Rådatakommune[[#This Row],[Y16-O]]/Rådatakommune[[#This Row],[Folk20-64-O]]</f>
        <v>0.86785992217898833</v>
      </c>
    </row>
    <row r="408" spans="1:20" x14ac:dyDescent="0.25">
      <c r="A408" s="2" t="s">
        <v>356</v>
      </c>
      <c r="B408" s="2">
        <v>407</v>
      </c>
      <c r="C408" s="35">
        <v>2965</v>
      </c>
      <c r="D408" s="34">
        <v>2938</v>
      </c>
      <c r="E408" s="31">
        <v>1430</v>
      </c>
      <c r="F408" s="36">
        <v>409</v>
      </c>
      <c r="G408" s="37">
        <v>367</v>
      </c>
      <c r="H408">
        <v>1733</v>
      </c>
      <c r="I408" s="31">
        <v>1355</v>
      </c>
      <c r="J408" s="31">
        <v>1266</v>
      </c>
      <c r="K408" s="7">
        <v>9707.3300000000017</v>
      </c>
      <c r="L408" s="38">
        <v>319900</v>
      </c>
      <c r="M408" s="39">
        <v>316.75</v>
      </c>
      <c r="N408">
        <v>11</v>
      </c>
      <c r="O408" s="30">
        <f>Rådatakommune[[#This Row],[B17-O]]/Rådatakommune[[#This Row],[Totalareal2017-O]]</f>
        <v>0.30265788842039981</v>
      </c>
      <c r="P408" s="32">
        <f>Rådatakommune[[#This Row],[B17-O]]/Rådatakommune[[#This Row],[B07-O]]-1</f>
        <v>-9.106239460371035E-3</v>
      </c>
      <c r="Q408" s="32">
        <f>Rådatakommune[[#This Row],[Kvinner20-39-O]]/Rådatakommune[[#This Row],[B17-O]]</f>
        <v>0.1249149081007488</v>
      </c>
      <c r="R408" s="32">
        <f>Rådatakommune[[#This Row],[Eldre67+-O]]/Rådatakommune[[#This Row],[B17-O]]</f>
        <v>0.13921034717494896</v>
      </c>
      <c r="S408" s="32">
        <f>Rådatakommune[[#This Row],[S16-O]]/Rådatakommune[[#This Row],[S06-O]]-1</f>
        <v>-6.5682656826568264E-2</v>
      </c>
      <c r="T408" s="32">
        <f>Rådatakommune[[#This Row],[Y16-O]]/Rådatakommune[[#This Row],[Folk20-64-O]]</f>
        <v>0.82515868436237738</v>
      </c>
    </row>
    <row r="409" spans="1:20" x14ac:dyDescent="0.25">
      <c r="A409" s="2" t="s">
        <v>357</v>
      </c>
      <c r="B409" s="2">
        <v>408</v>
      </c>
      <c r="C409" s="35">
        <v>18090</v>
      </c>
      <c r="D409" s="34">
        <v>20446</v>
      </c>
      <c r="E409" s="31">
        <v>10089</v>
      </c>
      <c r="F409" s="36">
        <v>2371</v>
      </c>
      <c r="G409" s="37">
        <v>2649</v>
      </c>
      <c r="H409">
        <v>12054</v>
      </c>
      <c r="I409" s="31">
        <v>9021</v>
      </c>
      <c r="J409" s="31">
        <v>10307</v>
      </c>
      <c r="K409" s="7">
        <v>3849.47</v>
      </c>
      <c r="L409" s="38">
        <v>402600</v>
      </c>
      <c r="M409" s="39">
        <v>220.09375</v>
      </c>
      <c r="N409">
        <v>6</v>
      </c>
      <c r="O409" s="30">
        <f>Rådatakommune[[#This Row],[B17-O]]/Rådatakommune[[#This Row],[Totalareal2017-O]]</f>
        <v>5.3113805277090096</v>
      </c>
      <c r="P409" s="32">
        <f>Rådatakommune[[#This Row],[B17-O]]/Rådatakommune[[#This Row],[B07-O]]-1</f>
        <v>0.13023770038695415</v>
      </c>
      <c r="Q409" s="32">
        <f>Rådatakommune[[#This Row],[Kvinner20-39-O]]/Rådatakommune[[#This Row],[B17-O]]</f>
        <v>0.12956079428739117</v>
      </c>
      <c r="R409" s="32">
        <f>Rådatakommune[[#This Row],[Eldre67+-O]]/Rådatakommune[[#This Row],[B17-O]]</f>
        <v>0.11596400273892205</v>
      </c>
      <c r="S409" s="32">
        <f>Rådatakommune[[#This Row],[S16-O]]/Rådatakommune[[#This Row],[S06-O]]-1</f>
        <v>0.14255625762110635</v>
      </c>
      <c r="T409" s="32">
        <f>Rådatakommune[[#This Row],[Y16-O]]/Rådatakommune[[#This Row],[Folk20-64-O]]</f>
        <v>0.83698357391737188</v>
      </c>
    </row>
    <row r="410" spans="1:20" x14ac:dyDescent="0.25">
      <c r="A410" s="2" t="s">
        <v>358</v>
      </c>
      <c r="B410" s="2">
        <v>409</v>
      </c>
      <c r="C410" s="35">
        <v>1150</v>
      </c>
      <c r="D410" s="34">
        <v>968</v>
      </c>
      <c r="E410" s="31">
        <v>434</v>
      </c>
      <c r="F410" s="36">
        <v>249</v>
      </c>
      <c r="G410" s="37">
        <v>83</v>
      </c>
      <c r="H410">
        <v>534</v>
      </c>
      <c r="I410" s="31">
        <v>435</v>
      </c>
      <c r="J410" s="31">
        <v>362</v>
      </c>
      <c r="K410" s="7">
        <v>688.87</v>
      </c>
      <c r="L410" s="38">
        <v>357800</v>
      </c>
      <c r="M410" s="39">
        <v>311.75</v>
      </c>
      <c r="N410">
        <v>11</v>
      </c>
      <c r="O410" s="30">
        <f>Rådatakommune[[#This Row],[B17-O]]/Rådatakommune[[#This Row],[Totalareal2017-O]]</f>
        <v>1.4051998199950644</v>
      </c>
      <c r="P410" s="32">
        <f>Rådatakommune[[#This Row],[B17-O]]/Rådatakommune[[#This Row],[B07-O]]-1</f>
        <v>-0.15826086956521734</v>
      </c>
      <c r="Q410" s="32">
        <f>Rådatakommune[[#This Row],[Kvinner20-39-O]]/Rådatakommune[[#This Row],[B17-O]]</f>
        <v>8.5743801652892568E-2</v>
      </c>
      <c r="R410" s="32">
        <f>Rådatakommune[[#This Row],[Eldre67+-O]]/Rådatakommune[[#This Row],[B17-O]]</f>
        <v>0.25723140495867769</v>
      </c>
      <c r="S410" s="32">
        <f>Rådatakommune[[#This Row],[S16-O]]/Rådatakommune[[#This Row],[S06-O]]-1</f>
        <v>-0.16781609195402303</v>
      </c>
      <c r="T410" s="32">
        <f>Rådatakommune[[#This Row],[Y16-O]]/Rådatakommune[[#This Row],[Folk20-64-O]]</f>
        <v>0.81273408239700373</v>
      </c>
    </row>
    <row r="411" spans="1:20" x14ac:dyDescent="0.25">
      <c r="A411" s="2" t="s">
        <v>359</v>
      </c>
      <c r="B411" s="2">
        <v>410</v>
      </c>
      <c r="C411" s="35">
        <v>1005</v>
      </c>
      <c r="D411" s="34">
        <v>1037</v>
      </c>
      <c r="E411" s="31">
        <v>463</v>
      </c>
      <c r="F411" s="36">
        <v>183</v>
      </c>
      <c r="G411" s="37">
        <v>105</v>
      </c>
      <c r="H411">
        <v>633</v>
      </c>
      <c r="I411" s="31">
        <v>395</v>
      </c>
      <c r="J411" s="31">
        <v>414</v>
      </c>
      <c r="K411" s="7">
        <v>555.55999999999995</v>
      </c>
      <c r="L411" s="38">
        <v>347000</v>
      </c>
      <c r="M411" s="39">
        <v>293.125</v>
      </c>
      <c r="N411">
        <v>11</v>
      </c>
      <c r="O411" s="30">
        <f>Rådatakommune[[#This Row],[B17-O]]/Rådatakommune[[#This Row],[Totalareal2017-O]]</f>
        <v>1.8665850673194617</v>
      </c>
      <c r="P411" s="32">
        <f>Rådatakommune[[#This Row],[B17-O]]/Rådatakommune[[#This Row],[B07-O]]-1</f>
        <v>3.184079601990053E-2</v>
      </c>
      <c r="Q411" s="32">
        <f>Rådatakommune[[#This Row],[Kvinner20-39-O]]/Rådatakommune[[#This Row],[B17-O]]</f>
        <v>0.10125361620057859</v>
      </c>
      <c r="R411" s="32">
        <f>Rådatakommune[[#This Row],[Eldre67+-O]]/Rådatakommune[[#This Row],[B17-O]]</f>
        <v>0.17647058823529413</v>
      </c>
      <c r="S411" s="32">
        <f>Rådatakommune[[#This Row],[S16-O]]/Rådatakommune[[#This Row],[S06-O]]-1</f>
        <v>4.8101265822784844E-2</v>
      </c>
      <c r="T411" s="32">
        <f>Rådatakommune[[#This Row],[Y16-O]]/Rådatakommune[[#This Row],[Folk20-64-O]]</f>
        <v>0.73143759873617697</v>
      </c>
    </row>
    <row r="412" spans="1:20" x14ac:dyDescent="0.25">
      <c r="A412" s="2" t="s">
        <v>360</v>
      </c>
      <c r="B412" s="2">
        <v>411</v>
      </c>
      <c r="C412" s="35">
        <v>1092</v>
      </c>
      <c r="D412" s="34">
        <v>1027</v>
      </c>
      <c r="E412" s="31">
        <v>459</v>
      </c>
      <c r="F412" s="36">
        <v>248</v>
      </c>
      <c r="G412" s="37">
        <v>86</v>
      </c>
      <c r="H412">
        <v>546</v>
      </c>
      <c r="I412" s="31">
        <v>350</v>
      </c>
      <c r="J412" s="31">
        <v>402</v>
      </c>
      <c r="K412" s="7">
        <v>1844.29</v>
      </c>
      <c r="L412" s="38">
        <v>378700</v>
      </c>
      <c r="M412" s="39">
        <v>298.8125</v>
      </c>
      <c r="N412">
        <v>6</v>
      </c>
      <c r="O412" s="30">
        <f>Rådatakommune[[#This Row],[B17-O]]/Rådatakommune[[#This Row],[Totalareal2017-O]]</f>
        <v>0.55685385703983648</v>
      </c>
      <c r="P412" s="32">
        <f>Rådatakommune[[#This Row],[B17-O]]/Rådatakommune[[#This Row],[B07-O]]-1</f>
        <v>-5.9523809523809534E-2</v>
      </c>
      <c r="Q412" s="32">
        <f>Rådatakommune[[#This Row],[Kvinner20-39-O]]/Rådatakommune[[#This Row],[B17-O]]</f>
        <v>8.3739045764362224E-2</v>
      </c>
      <c r="R412" s="32">
        <f>Rådatakommune[[#This Row],[Eldre67+-O]]/Rådatakommune[[#This Row],[B17-O]]</f>
        <v>0.24148003894839337</v>
      </c>
      <c r="S412" s="32">
        <f>Rådatakommune[[#This Row],[S16-O]]/Rådatakommune[[#This Row],[S06-O]]-1</f>
        <v>0.14857142857142858</v>
      </c>
      <c r="T412" s="32">
        <f>Rådatakommune[[#This Row],[Y16-O]]/Rådatakommune[[#This Row],[Folk20-64-O]]</f>
        <v>0.84065934065934067</v>
      </c>
    </row>
    <row r="413" spans="1:20" x14ac:dyDescent="0.25">
      <c r="A413" s="2" t="s">
        <v>361</v>
      </c>
      <c r="B413" s="2">
        <v>412</v>
      </c>
      <c r="C413" s="35">
        <v>1319</v>
      </c>
      <c r="D413" s="34">
        <v>1204</v>
      </c>
      <c r="E413" s="31">
        <v>524</v>
      </c>
      <c r="F413" s="36">
        <v>283</v>
      </c>
      <c r="G413" s="37">
        <v>121</v>
      </c>
      <c r="H413">
        <v>662</v>
      </c>
      <c r="I413" s="31">
        <v>555</v>
      </c>
      <c r="J413" s="31">
        <v>453</v>
      </c>
      <c r="K413" s="7">
        <v>1135.82</v>
      </c>
      <c r="L413" s="38">
        <v>368500</v>
      </c>
      <c r="M413" s="39">
        <v>361.4375</v>
      </c>
      <c r="N413">
        <v>11</v>
      </c>
      <c r="O413" s="30">
        <f>Rådatakommune[[#This Row],[B17-O]]/Rådatakommune[[#This Row],[Totalareal2017-O]]</f>
        <v>1.0600271169727598</v>
      </c>
      <c r="P413" s="32">
        <f>Rådatakommune[[#This Row],[B17-O]]/Rådatakommune[[#This Row],[B07-O]]-1</f>
        <v>-8.7187263078089439E-2</v>
      </c>
      <c r="Q413" s="32">
        <f>Rådatakommune[[#This Row],[Kvinner20-39-O]]/Rådatakommune[[#This Row],[B17-O]]</f>
        <v>0.1004983388704319</v>
      </c>
      <c r="R413" s="32">
        <f>Rådatakommune[[#This Row],[Eldre67+-O]]/Rådatakommune[[#This Row],[B17-O]]</f>
        <v>0.2350498338870432</v>
      </c>
      <c r="S413" s="32">
        <f>Rådatakommune[[#This Row],[S16-O]]/Rådatakommune[[#This Row],[S06-O]]-1</f>
        <v>-0.18378378378378379</v>
      </c>
      <c r="T413" s="32">
        <f>Rådatakommune[[#This Row],[Y16-O]]/Rådatakommune[[#This Row],[Folk20-64-O]]</f>
        <v>0.79154078549848939</v>
      </c>
    </row>
    <row r="414" spans="1:20" x14ac:dyDescent="0.25">
      <c r="A414" s="2" t="s">
        <v>362</v>
      </c>
      <c r="B414" s="2">
        <v>413</v>
      </c>
      <c r="C414" s="35">
        <v>3274</v>
      </c>
      <c r="D414" s="34">
        <v>3291</v>
      </c>
      <c r="E414" s="31">
        <v>1564</v>
      </c>
      <c r="F414" s="36">
        <v>568</v>
      </c>
      <c r="G414" s="37">
        <v>352</v>
      </c>
      <c r="H414">
        <v>1941</v>
      </c>
      <c r="I414" s="31">
        <v>1445</v>
      </c>
      <c r="J414" s="31">
        <v>1468</v>
      </c>
      <c r="K414" s="7">
        <v>925.7</v>
      </c>
      <c r="L414" s="38">
        <v>391400</v>
      </c>
      <c r="M414" s="39">
        <v>331.5625</v>
      </c>
      <c r="N414">
        <v>9</v>
      </c>
      <c r="O414" s="30">
        <f>Rådatakommune[[#This Row],[B17-O]]/Rådatakommune[[#This Row],[Totalareal2017-O]]</f>
        <v>3.5551474559792586</v>
      </c>
      <c r="P414" s="32">
        <f>Rådatakommune[[#This Row],[B17-O]]/Rådatakommune[[#This Row],[B07-O]]-1</f>
        <v>5.1924251679902333E-3</v>
      </c>
      <c r="Q414" s="32">
        <f>Rådatakommune[[#This Row],[Kvinner20-39-O]]/Rådatakommune[[#This Row],[B17-O]]</f>
        <v>0.10695837131570951</v>
      </c>
      <c r="R414" s="32">
        <f>Rådatakommune[[#This Row],[Eldre67+-O]]/Rådatakommune[[#This Row],[B17-O]]</f>
        <v>0.17259191735034943</v>
      </c>
      <c r="S414" s="32">
        <f>Rådatakommune[[#This Row],[S16-O]]/Rådatakommune[[#This Row],[S06-O]]-1</f>
        <v>1.591695501730106E-2</v>
      </c>
      <c r="T414" s="32">
        <f>Rådatakommune[[#This Row],[Y16-O]]/Rådatakommune[[#This Row],[Folk20-64-O]]</f>
        <v>0.8057702215352911</v>
      </c>
    </row>
    <row r="415" spans="1:20" x14ac:dyDescent="0.25">
      <c r="A415" s="2" t="s">
        <v>363</v>
      </c>
      <c r="B415" s="2">
        <v>414</v>
      </c>
      <c r="C415" s="35">
        <v>4141</v>
      </c>
      <c r="D415" s="34">
        <v>3971</v>
      </c>
      <c r="E415" s="31">
        <v>1900</v>
      </c>
      <c r="F415" s="36">
        <v>705</v>
      </c>
      <c r="G415" s="37">
        <v>413</v>
      </c>
      <c r="H415">
        <v>2341</v>
      </c>
      <c r="I415" s="31">
        <v>1920</v>
      </c>
      <c r="J415" s="31">
        <v>1780</v>
      </c>
      <c r="K415" s="7">
        <v>4872.58</v>
      </c>
      <c r="L415" s="38">
        <v>387700</v>
      </c>
      <c r="M415" s="39">
        <v>286.8125</v>
      </c>
      <c r="N415">
        <v>9</v>
      </c>
      <c r="O415" s="30">
        <f>Rådatakommune[[#This Row],[B17-O]]/Rådatakommune[[#This Row],[Totalareal2017-O]]</f>
        <v>0.81496866136625767</v>
      </c>
      <c r="P415" s="32">
        <f>Rådatakommune[[#This Row],[B17-O]]/Rådatakommune[[#This Row],[B07-O]]-1</f>
        <v>-4.1052885776382553E-2</v>
      </c>
      <c r="Q415" s="32">
        <f>Rådatakommune[[#This Row],[Kvinner20-39-O]]/Rådatakommune[[#This Row],[B17-O]]</f>
        <v>0.10400402921178545</v>
      </c>
      <c r="R415" s="32">
        <f>Rådatakommune[[#This Row],[Eldre67+-O]]/Rådatakommune[[#This Row],[B17-O]]</f>
        <v>0.17753714429614706</v>
      </c>
      <c r="S415" s="32">
        <f>Rådatakommune[[#This Row],[S16-O]]/Rådatakommune[[#This Row],[S06-O]]-1</f>
        <v>-7.291666666666663E-2</v>
      </c>
      <c r="T415" s="32">
        <f>Rådatakommune[[#This Row],[Y16-O]]/Rådatakommune[[#This Row],[Folk20-64-O]]</f>
        <v>0.81161896625373775</v>
      </c>
    </row>
    <row r="416" spans="1:20" x14ac:dyDescent="0.25">
      <c r="A416" s="2" t="s">
        <v>364</v>
      </c>
      <c r="B416" s="2">
        <v>415</v>
      </c>
      <c r="C416" s="35">
        <v>2873</v>
      </c>
      <c r="D416" s="34">
        <v>2696</v>
      </c>
      <c r="E416" s="31">
        <v>1379</v>
      </c>
      <c r="F416" s="36">
        <v>399</v>
      </c>
      <c r="G416" s="37">
        <v>318</v>
      </c>
      <c r="H416">
        <v>1634</v>
      </c>
      <c r="I416" s="31">
        <v>1366</v>
      </c>
      <c r="J416" s="31">
        <v>1374</v>
      </c>
      <c r="K416" s="7">
        <v>5452.95</v>
      </c>
      <c r="L416" s="38">
        <v>351800</v>
      </c>
      <c r="M416" s="39">
        <v>340.875</v>
      </c>
      <c r="N416">
        <v>11</v>
      </c>
      <c r="O416" s="30">
        <f>Rådatakommune[[#This Row],[B17-O]]/Rådatakommune[[#This Row],[Totalareal2017-O]]</f>
        <v>0.49441128196664191</v>
      </c>
      <c r="P416" s="32">
        <f>Rådatakommune[[#This Row],[B17-O]]/Rådatakommune[[#This Row],[B07-O]]-1</f>
        <v>-6.1608075182735811E-2</v>
      </c>
      <c r="Q416" s="32">
        <f>Rådatakommune[[#This Row],[Kvinner20-39-O]]/Rådatakommune[[#This Row],[B17-O]]</f>
        <v>0.11795252225519288</v>
      </c>
      <c r="R416" s="32">
        <f>Rådatakommune[[#This Row],[Eldre67+-O]]/Rådatakommune[[#This Row],[B17-O]]</f>
        <v>0.14799703264094954</v>
      </c>
      <c r="S416" s="32">
        <f>Rådatakommune[[#This Row],[S16-O]]/Rådatakommune[[#This Row],[S06-O]]-1</f>
        <v>5.8565153733527442E-3</v>
      </c>
      <c r="T416" s="32">
        <f>Rådatakommune[[#This Row],[Y16-O]]/Rådatakommune[[#This Row],[Folk20-64-O]]</f>
        <v>0.84394124847001228</v>
      </c>
    </row>
    <row r="417" spans="1:20" x14ac:dyDescent="0.25">
      <c r="A417" s="2" t="s">
        <v>365</v>
      </c>
      <c r="B417" s="2">
        <v>416</v>
      </c>
      <c r="C417" s="35">
        <v>1357</v>
      </c>
      <c r="D417" s="34">
        <v>1330</v>
      </c>
      <c r="E417" s="31">
        <v>584</v>
      </c>
      <c r="F417" s="36">
        <v>245</v>
      </c>
      <c r="G417" s="37">
        <v>117</v>
      </c>
      <c r="H417">
        <v>753</v>
      </c>
      <c r="I417" s="31">
        <v>585</v>
      </c>
      <c r="J417" s="31">
        <v>558</v>
      </c>
      <c r="K417" s="7">
        <v>3459.4100000000003</v>
      </c>
      <c r="L417" s="38">
        <v>346300</v>
      </c>
      <c r="M417" s="39">
        <v>389.1875</v>
      </c>
      <c r="N417">
        <v>11</v>
      </c>
      <c r="O417" s="30">
        <f>Rådatakommune[[#This Row],[B17-O]]/Rådatakommune[[#This Row],[Totalareal2017-O]]</f>
        <v>0.38445862155685506</v>
      </c>
      <c r="P417" s="32">
        <f>Rådatakommune[[#This Row],[B17-O]]/Rådatakommune[[#This Row],[B07-O]]-1</f>
        <v>-1.9896831245394209E-2</v>
      </c>
      <c r="Q417" s="32">
        <f>Rådatakommune[[#This Row],[Kvinner20-39-O]]/Rådatakommune[[#This Row],[B17-O]]</f>
        <v>8.7969924812030073E-2</v>
      </c>
      <c r="R417" s="32">
        <f>Rådatakommune[[#This Row],[Eldre67+-O]]/Rådatakommune[[#This Row],[B17-O]]</f>
        <v>0.18421052631578946</v>
      </c>
      <c r="S417" s="32">
        <f>Rådatakommune[[#This Row],[S16-O]]/Rådatakommune[[#This Row],[S06-O]]-1</f>
        <v>-4.6153846153846101E-2</v>
      </c>
      <c r="T417" s="32">
        <f>Rådatakommune[[#This Row],[Y16-O]]/Rådatakommune[[#This Row],[Folk20-64-O]]</f>
        <v>0.77556440903054447</v>
      </c>
    </row>
    <row r="418" spans="1:20" x14ac:dyDescent="0.25">
      <c r="A418" s="2" t="s">
        <v>366</v>
      </c>
      <c r="B418" s="2">
        <v>417</v>
      </c>
      <c r="C418" s="35">
        <v>1046</v>
      </c>
      <c r="D418" s="34">
        <v>1137</v>
      </c>
      <c r="E418" s="31">
        <v>533</v>
      </c>
      <c r="F418" s="36">
        <v>204</v>
      </c>
      <c r="G418" s="37">
        <v>111</v>
      </c>
      <c r="H418">
        <v>716</v>
      </c>
      <c r="I418" s="31">
        <v>393</v>
      </c>
      <c r="J418" s="31">
        <v>467</v>
      </c>
      <c r="K418" s="7">
        <v>1416.34</v>
      </c>
      <c r="L418" s="38">
        <v>339100</v>
      </c>
      <c r="M418" s="39">
        <v>366.125</v>
      </c>
      <c r="N418">
        <v>11</v>
      </c>
      <c r="O418" s="30">
        <f>Rådatakommune[[#This Row],[B17-O]]/Rådatakommune[[#This Row],[Totalareal2017-O]]</f>
        <v>0.8027733453831708</v>
      </c>
      <c r="P418" s="32">
        <f>Rådatakommune[[#This Row],[B17-O]]/Rådatakommune[[#This Row],[B07-O]]-1</f>
        <v>8.6998087954110792E-2</v>
      </c>
      <c r="Q418" s="32">
        <f>Rådatakommune[[#This Row],[Kvinner20-39-O]]/Rådatakommune[[#This Row],[B17-O]]</f>
        <v>9.7625329815303433E-2</v>
      </c>
      <c r="R418" s="32">
        <f>Rådatakommune[[#This Row],[Eldre67+-O]]/Rådatakommune[[#This Row],[B17-O]]</f>
        <v>0.17941952506596306</v>
      </c>
      <c r="S418" s="32">
        <f>Rådatakommune[[#This Row],[S16-O]]/Rådatakommune[[#This Row],[S06-O]]-1</f>
        <v>0.18829516539440205</v>
      </c>
      <c r="T418" s="32">
        <f>Rådatakommune[[#This Row],[Y16-O]]/Rådatakommune[[#This Row],[Folk20-64-O]]</f>
        <v>0.744413407821229</v>
      </c>
    </row>
    <row r="419" spans="1:20" x14ac:dyDescent="0.25">
      <c r="A419" s="2" t="s">
        <v>367</v>
      </c>
      <c r="B419" s="2">
        <v>418</v>
      </c>
      <c r="C419" s="35">
        <v>1086</v>
      </c>
      <c r="D419" s="34">
        <v>991</v>
      </c>
      <c r="E419" s="31">
        <v>468</v>
      </c>
      <c r="F419" s="36">
        <v>205</v>
      </c>
      <c r="G419" s="37">
        <v>97</v>
      </c>
      <c r="H419">
        <v>580</v>
      </c>
      <c r="I419" s="31">
        <v>419</v>
      </c>
      <c r="J419" s="31">
        <v>422</v>
      </c>
      <c r="K419" s="7">
        <v>1121.78</v>
      </c>
      <c r="L419" s="38">
        <v>367600</v>
      </c>
      <c r="M419" s="39">
        <v>400.4375</v>
      </c>
      <c r="N419">
        <v>11</v>
      </c>
      <c r="O419" s="30">
        <f>Rådatakommune[[#This Row],[B17-O]]/Rådatakommune[[#This Row],[Totalareal2017-O]]</f>
        <v>0.88341742587673167</v>
      </c>
      <c r="P419" s="32">
        <f>Rådatakommune[[#This Row],[B17-O]]/Rådatakommune[[#This Row],[B07-O]]-1</f>
        <v>-8.7476979742173167E-2</v>
      </c>
      <c r="Q419" s="32">
        <f>Rådatakommune[[#This Row],[Kvinner20-39-O]]/Rådatakommune[[#This Row],[B17-O]]</f>
        <v>9.7880928355196767E-2</v>
      </c>
      <c r="R419" s="32">
        <f>Rådatakommune[[#This Row],[Eldre67+-O]]/Rådatakommune[[#This Row],[B17-O]]</f>
        <v>0.20686175580221999</v>
      </c>
      <c r="S419" s="32">
        <f>Rådatakommune[[#This Row],[S16-O]]/Rådatakommune[[#This Row],[S06-O]]-1</f>
        <v>7.1599045346062429E-3</v>
      </c>
      <c r="T419" s="32">
        <f>Rådatakommune[[#This Row],[Y16-O]]/Rådatakommune[[#This Row],[Folk20-64-O]]</f>
        <v>0.80689655172413788</v>
      </c>
    </row>
    <row r="420" spans="1:20" x14ac:dyDescent="0.25">
      <c r="A420" s="2" t="s">
        <v>368</v>
      </c>
      <c r="B420" s="2">
        <v>419</v>
      </c>
      <c r="C420" s="35">
        <v>2979</v>
      </c>
      <c r="D420" s="34">
        <v>2911</v>
      </c>
      <c r="E420" s="31">
        <v>1446</v>
      </c>
      <c r="F420" s="36">
        <v>538</v>
      </c>
      <c r="G420" s="37">
        <v>284</v>
      </c>
      <c r="H420">
        <v>1697</v>
      </c>
      <c r="I420" s="31">
        <v>1290</v>
      </c>
      <c r="J420" s="31">
        <v>1401</v>
      </c>
      <c r="K420" s="7">
        <v>4051.35</v>
      </c>
      <c r="L420" s="38">
        <v>379400</v>
      </c>
      <c r="M420" s="39">
        <v>323.375</v>
      </c>
      <c r="N420">
        <v>11</v>
      </c>
      <c r="O420" s="30">
        <f>Rådatakommune[[#This Row],[B17-O]]/Rådatakommune[[#This Row],[Totalareal2017-O]]</f>
        <v>0.7185259234576129</v>
      </c>
      <c r="P420" s="32">
        <f>Rådatakommune[[#This Row],[B17-O]]/Rådatakommune[[#This Row],[B07-O]]-1</f>
        <v>-2.282645182947296E-2</v>
      </c>
      <c r="Q420" s="32">
        <f>Rådatakommune[[#This Row],[Kvinner20-39-O]]/Rådatakommune[[#This Row],[B17-O]]</f>
        <v>9.7560975609756101E-2</v>
      </c>
      <c r="R420" s="32">
        <f>Rådatakommune[[#This Row],[Eldre67+-O]]/Rådatakommune[[#This Row],[B17-O]]</f>
        <v>0.18481621435932669</v>
      </c>
      <c r="S420" s="32">
        <f>Rådatakommune[[#This Row],[S16-O]]/Rådatakommune[[#This Row],[S06-O]]-1</f>
        <v>8.6046511627906996E-2</v>
      </c>
      <c r="T420" s="32">
        <f>Rådatakommune[[#This Row],[Y16-O]]/Rådatakommune[[#This Row],[Folk20-64-O]]</f>
        <v>0.85209192692987623</v>
      </c>
    </row>
    <row r="421" spans="1:20" x14ac:dyDescent="0.25">
      <c r="A421" s="2" t="s">
        <v>369</v>
      </c>
      <c r="B421" s="2">
        <v>420</v>
      </c>
      <c r="C421" s="35">
        <v>884</v>
      </c>
      <c r="D421" s="34">
        <v>951</v>
      </c>
      <c r="E421" s="31">
        <v>393</v>
      </c>
      <c r="F421" s="36">
        <v>203</v>
      </c>
      <c r="G421" s="37">
        <v>98</v>
      </c>
      <c r="H421">
        <v>515</v>
      </c>
      <c r="I421" s="31">
        <v>357</v>
      </c>
      <c r="J421" s="31">
        <v>325</v>
      </c>
      <c r="K421" s="7">
        <v>1436.89</v>
      </c>
      <c r="L421" s="38">
        <v>356200</v>
      </c>
      <c r="M421" s="39">
        <v>308.9375</v>
      </c>
      <c r="N421">
        <v>7</v>
      </c>
      <c r="O421" s="30">
        <f>Rådatakommune[[#This Row],[B17-O]]/Rådatakommune[[#This Row],[Totalareal2017-O]]</f>
        <v>0.66184607033245413</v>
      </c>
      <c r="P421" s="32">
        <f>Rådatakommune[[#This Row],[B17-O]]/Rådatakommune[[#This Row],[B07-O]]-1</f>
        <v>7.5791855203619862E-2</v>
      </c>
      <c r="Q421" s="32">
        <f>Rådatakommune[[#This Row],[Kvinner20-39-O]]/Rådatakommune[[#This Row],[B17-O]]</f>
        <v>0.10304942166140904</v>
      </c>
      <c r="R421" s="32">
        <f>Rådatakommune[[#This Row],[Eldre67+-O]]/Rådatakommune[[#This Row],[B17-O]]</f>
        <v>0.21345951629863302</v>
      </c>
      <c r="S421" s="32">
        <f>Rådatakommune[[#This Row],[S16-O]]/Rådatakommune[[#This Row],[S06-O]]-1</f>
        <v>-8.9635854341736709E-2</v>
      </c>
      <c r="T421" s="32">
        <f>Rådatakommune[[#This Row],[Y16-O]]/Rådatakommune[[#This Row],[Folk20-64-O]]</f>
        <v>0.76310679611650489</v>
      </c>
    </row>
    <row r="422" spans="1:20" x14ac:dyDescent="0.25">
      <c r="A422" s="2" t="s">
        <v>370</v>
      </c>
      <c r="B422" s="2">
        <v>421</v>
      </c>
      <c r="C422" s="35">
        <v>2113</v>
      </c>
      <c r="D422" s="34">
        <v>2267</v>
      </c>
      <c r="E422" s="31">
        <v>1190</v>
      </c>
      <c r="F422" s="36">
        <v>315</v>
      </c>
      <c r="G422" s="37">
        <v>259</v>
      </c>
      <c r="H422">
        <v>1404</v>
      </c>
      <c r="I422" s="31">
        <v>968</v>
      </c>
      <c r="J422" s="31">
        <v>1164</v>
      </c>
      <c r="K422" s="7">
        <v>1434.72</v>
      </c>
      <c r="L422" s="38">
        <v>376700</v>
      </c>
      <c r="M422" s="39">
        <v>401.375</v>
      </c>
      <c r="N422">
        <v>9</v>
      </c>
      <c r="O422" s="30">
        <f>Rådatakommune[[#This Row],[B17-O]]/Rådatakommune[[#This Row],[Totalareal2017-O]]</f>
        <v>1.5800992528158804</v>
      </c>
      <c r="P422" s="32">
        <f>Rådatakommune[[#This Row],[B17-O]]/Rådatakommune[[#This Row],[B07-O]]-1</f>
        <v>7.2882158069096148E-2</v>
      </c>
      <c r="Q422" s="32">
        <f>Rådatakommune[[#This Row],[Kvinner20-39-O]]/Rådatakommune[[#This Row],[B17-O]]</f>
        <v>0.11424790471989413</v>
      </c>
      <c r="R422" s="32">
        <f>Rådatakommune[[#This Row],[Eldre67+-O]]/Rådatakommune[[#This Row],[B17-O]]</f>
        <v>0.13895015438906044</v>
      </c>
      <c r="S422" s="32">
        <f>Rådatakommune[[#This Row],[S16-O]]/Rådatakommune[[#This Row],[S06-O]]-1</f>
        <v>0.20247933884297531</v>
      </c>
      <c r="T422" s="32">
        <f>Rådatakommune[[#This Row],[Y16-O]]/Rådatakommune[[#This Row],[Folk20-64-O]]</f>
        <v>0.8475783475783476</v>
      </c>
    </row>
    <row r="423" spans="1:20" x14ac:dyDescent="0.25">
      <c r="A423" s="2" t="s">
        <v>371</v>
      </c>
      <c r="B423" s="2">
        <v>422</v>
      </c>
      <c r="C423" s="37">
        <v>9490</v>
      </c>
      <c r="D423" s="37">
        <v>10199</v>
      </c>
      <c r="E423" s="31">
        <v>5213</v>
      </c>
      <c r="F423" s="37">
        <v>1487</v>
      </c>
      <c r="G423" s="37">
        <v>1266</v>
      </c>
      <c r="H423">
        <v>6191</v>
      </c>
      <c r="I423" s="31">
        <v>4469</v>
      </c>
      <c r="J423" s="31">
        <v>5036</v>
      </c>
      <c r="K423" s="7">
        <v>3971.58</v>
      </c>
      <c r="L423" s="38">
        <v>403200</v>
      </c>
      <c r="M423" s="39">
        <v>237.65625</v>
      </c>
      <c r="N423">
        <v>9</v>
      </c>
      <c r="O423" s="30">
        <f>Rådatakommune[[#This Row],[B17-O]]/Rådatakommune[[#This Row],[Totalareal2017-O]]</f>
        <v>2.567995608800528</v>
      </c>
      <c r="P423" s="32">
        <f>Rådatakommune[[#This Row],[B17-O]]/Rådatakommune[[#This Row],[B07-O]]-1</f>
        <v>7.4710221285563705E-2</v>
      </c>
      <c r="Q423" s="32">
        <f>Rådatakommune[[#This Row],[Kvinner20-39-O]]/Rådatakommune[[#This Row],[B17-O]]</f>
        <v>0.12412981664869105</v>
      </c>
      <c r="R423" s="32">
        <f>Rådatakommune[[#This Row],[Eldre67+-O]]/Rådatakommune[[#This Row],[B17-O]]</f>
        <v>0.14579860770663791</v>
      </c>
      <c r="S423" s="32">
        <f>Rådatakommune[[#This Row],[S16-O]]/Rådatakommune[[#This Row],[S06-O]]-1</f>
        <v>0.12687402103378842</v>
      </c>
      <c r="T423" s="32">
        <f>Rådatakommune[[#This Row],[Y16-O]]/Rådatakommune[[#This Row],[Folk20-64-O]]</f>
        <v>0.84202875141334199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2"/>
  <sheetViews>
    <sheetView workbookViewId="0">
      <pane xSplit="1" ySplit="2" topLeftCell="B369" activePane="bottomRight" state="frozen"/>
      <selection pane="topRight" activeCell="B1" sqref="B1"/>
      <selection pane="bottomLeft" activeCell="A3" sqref="A3"/>
      <selection pane="bottomRight" activeCell="A385" sqref="A385"/>
    </sheetView>
  </sheetViews>
  <sheetFormatPr baseColWidth="10" defaultRowHeight="15" x14ac:dyDescent="0.25"/>
  <cols>
    <col min="1" max="1" width="25" bestFit="1" customWidth="1"/>
    <col min="2" max="2" width="16.7109375" customWidth="1"/>
    <col min="3" max="3" width="16.85546875" customWidth="1"/>
    <col min="4" max="4" width="14.42578125" customWidth="1"/>
    <col min="5" max="5" width="13.28515625" customWidth="1"/>
    <col min="6" max="6" width="12.85546875" customWidth="1"/>
    <col min="7" max="7" width="14.28515625" customWidth="1"/>
    <col min="8" max="8" width="12.7109375" customWidth="1"/>
    <col min="9" max="9" width="22.28515625" customWidth="1"/>
    <col min="10" max="10" width="17.140625" customWidth="1"/>
    <col min="11" max="11" width="9.5703125" customWidth="1"/>
    <col min="12" max="12" width="11.140625" bestFit="1" customWidth="1"/>
    <col min="13" max="13" width="15.42578125" customWidth="1"/>
    <col min="14" max="14" width="14.28515625" customWidth="1"/>
    <col min="15" max="15" width="13.85546875" customWidth="1"/>
    <col min="16" max="16" width="15.28515625" customWidth="1"/>
    <col min="17" max="17" width="13.7109375" customWidth="1"/>
    <col min="18" max="18" width="23.28515625" customWidth="1"/>
    <col min="19" max="19" width="18.140625" customWidth="1"/>
    <col min="20" max="20" width="11.5703125" customWidth="1"/>
    <col min="21" max="21" width="10.7109375" bestFit="1" customWidth="1"/>
    <col min="22" max="22" width="15.85546875" bestFit="1" customWidth="1"/>
    <col min="23" max="23" width="14.7109375" customWidth="1"/>
    <col min="24" max="24" width="14.28515625" bestFit="1" customWidth="1"/>
    <col min="25" max="25" width="15.7109375" bestFit="1" customWidth="1"/>
    <col min="26" max="26" width="14.140625" bestFit="1" customWidth="1"/>
    <col min="27" max="27" width="24" bestFit="1" customWidth="1"/>
    <col min="28" max="28" width="18.85546875" bestFit="1" customWidth="1"/>
    <col min="29" max="29" width="11" bestFit="1" customWidth="1"/>
    <col min="30" max="30" width="16.5703125" bestFit="1" customWidth="1"/>
  </cols>
  <sheetData>
    <row r="1" spans="1:30" x14ac:dyDescent="0.25">
      <c r="C1" s="68" t="s">
        <v>398</v>
      </c>
      <c r="D1" s="69"/>
      <c r="E1" s="69"/>
      <c r="F1" s="69"/>
      <c r="G1" s="69"/>
      <c r="H1" s="69"/>
      <c r="I1" s="69"/>
      <c r="J1" s="69"/>
      <c r="K1" s="70"/>
      <c r="L1" s="68" t="s">
        <v>399</v>
      </c>
      <c r="M1" s="69"/>
      <c r="N1" s="69"/>
      <c r="O1" s="69"/>
      <c r="P1" s="69"/>
      <c r="Q1" s="69"/>
      <c r="R1" s="69"/>
      <c r="S1" s="69"/>
      <c r="T1" s="70"/>
      <c r="U1" s="68" t="s">
        <v>408</v>
      </c>
      <c r="V1" s="69"/>
      <c r="W1" s="69"/>
      <c r="X1" s="69"/>
      <c r="Y1" s="69"/>
      <c r="Z1" s="69"/>
      <c r="AA1" s="69"/>
      <c r="AB1" s="69"/>
      <c r="AC1" s="70"/>
      <c r="AD1" s="55" t="s">
        <v>409</v>
      </c>
    </row>
    <row r="2" spans="1:30" x14ac:dyDescent="0.25">
      <c r="A2" s="6" t="s">
        <v>0</v>
      </c>
      <c r="B2" s="6" t="s">
        <v>924</v>
      </c>
      <c r="C2" s="14" t="s">
        <v>434</v>
      </c>
      <c r="D2" s="15" t="s">
        <v>377</v>
      </c>
      <c r="E2" s="15" t="s">
        <v>432</v>
      </c>
      <c r="F2" s="29" t="s">
        <v>389</v>
      </c>
      <c r="G2" s="16" t="s">
        <v>390</v>
      </c>
      <c r="H2" s="16" t="s">
        <v>391</v>
      </c>
      <c r="I2" s="16" t="s">
        <v>392</v>
      </c>
      <c r="J2" s="16" t="s">
        <v>393</v>
      </c>
      <c r="K2" s="17" t="s">
        <v>384</v>
      </c>
      <c r="L2" s="14" t="s">
        <v>435</v>
      </c>
      <c r="M2" s="15" t="s">
        <v>410</v>
      </c>
      <c r="N2" s="15" t="s">
        <v>433</v>
      </c>
      <c r="O2" s="23" t="s">
        <v>411</v>
      </c>
      <c r="P2" s="23" t="s">
        <v>412</v>
      </c>
      <c r="Q2" s="23" t="s">
        <v>413</v>
      </c>
      <c r="R2" s="23" t="s">
        <v>414</v>
      </c>
      <c r="S2" s="23" t="s">
        <v>415</v>
      </c>
      <c r="T2" s="25" t="s">
        <v>416</v>
      </c>
      <c r="U2" s="14" t="s">
        <v>436</v>
      </c>
      <c r="V2" s="15" t="s">
        <v>417</v>
      </c>
      <c r="W2" s="15" t="s">
        <v>431</v>
      </c>
      <c r="X2" s="23" t="s">
        <v>418</v>
      </c>
      <c r="Y2" s="23" t="s">
        <v>419</v>
      </c>
      <c r="Z2" s="23" t="s">
        <v>420</v>
      </c>
      <c r="AA2" s="23" t="s">
        <v>421</v>
      </c>
      <c r="AB2" s="23" t="s">
        <v>422</v>
      </c>
      <c r="AC2" s="25" t="s">
        <v>423</v>
      </c>
      <c r="AD2" s="28" t="s">
        <v>375</v>
      </c>
    </row>
    <row r="3" spans="1:30" x14ac:dyDescent="0.25">
      <c r="A3" s="1" t="s">
        <v>1</v>
      </c>
      <c r="B3" s="1">
        <v>1</v>
      </c>
      <c r="C3">
        <f>'Rådata-K'!N2</f>
        <v>5</v>
      </c>
      <c r="D3" s="30">
        <f>'Rådata-K'!M2</f>
        <v>78.046875</v>
      </c>
      <c r="E3" s="32">
        <f>'Rådata-K'!O2</f>
        <v>47.937101043126269</v>
      </c>
      <c r="F3" s="32">
        <f>'Rådata-K'!P2</f>
        <v>0.10616130770612542</v>
      </c>
      <c r="G3" s="32">
        <f>'Rådata-K'!Q2</f>
        <v>0.11867489444624878</v>
      </c>
      <c r="H3" s="32">
        <f>'Rådata-K'!R2</f>
        <v>0.16908087041247158</v>
      </c>
      <c r="I3" s="32">
        <f>'Rådata-K'!S2</f>
        <v>1.4705882352941124E-2</v>
      </c>
      <c r="J3" s="32">
        <f>'Rådata-K'!T2</f>
        <v>0.75611397801211577</v>
      </c>
      <c r="K3" s="67">
        <f>'Rådata-K'!L2</f>
        <v>380500</v>
      </c>
      <c r="L3" s="18">
        <f>Tabell2[[#This Row],[NIBR11]]</f>
        <v>5</v>
      </c>
      <c r="M3" s="32">
        <f>IF(Tabell2[[#This Row],[ReisetidOslo]]&lt;=D$427,D$427,IF(Tabell2[[#This Row],[ReisetidOslo]]&gt;=D$428,D$428,Tabell2[[#This Row],[ReisetidOslo]]))</f>
        <v>78.046875</v>
      </c>
      <c r="N3" s="32">
        <f>IF(Tabell2[[#This Row],[Beftettotal]]&lt;=E$427,E$427,IF(Tabell2[[#This Row],[Beftettotal]]&gt;=E$428,E$428,Tabell2[[#This Row],[Beftettotal]]))</f>
        <v>47.937101043126269</v>
      </c>
      <c r="O3" s="32">
        <f>IF(Tabell2[[#This Row],[Befvekst10]]&lt;=F$427,F$427,IF(Tabell2[[#This Row],[Befvekst10]]&gt;=F$428,F$428,Tabell2[[#This Row],[Befvekst10]]))</f>
        <v>0.10616130770612542</v>
      </c>
      <c r="P3" s="32">
        <f>IF(Tabell2[[#This Row],[Kvinneandel]]&lt;=G$427,G$427,IF(Tabell2[[#This Row],[Kvinneandel]]&gt;=G$428,G$428,Tabell2[[#This Row],[Kvinneandel]]))</f>
        <v>0.11867489444624878</v>
      </c>
      <c r="Q3" s="32">
        <f>IF(Tabell2[[#This Row],[Eldreandel]]&lt;=H$427,H$427,IF(Tabell2[[#This Row],[Eldreandel]]&gt;=H$428,H$428,Tabell2[[#This Row],[Eldreandel]]))</f>
        <v>0.16908087041247158</v>
      </c>
      <c r="R3" s="32">
        <f>IF(Tabell2[[#This Row],[Sysselsettingsvekst10]]&lt;=I$427,I$427,IF(Tabell2[[#This Row],[Sysselsettingsvekst10]]&gt;=I$428,I$428,Tabell2[[#This Row],[Sysselsettingsvekst10]]))</f>
        <v>1.4705882352941124E-2</v>
      </c>
      <c r="S3" s="32">
        <f>IF(Tabell2[[#This Row],[Yrkesaktivandel]]&lt;=J$427,J$427,IF(Tabell2[[#This Row],[Yrkesaktivandel]]&gt;=J$428,J$428,Tabell2[[#This Row],[Yrkesaktivandel]]))</f>
        <v>0.7970451171433347</v>
      </c>
      <c r="T3" s="67">
        <f>IF(Tabell2[[#This Row],[Inntekt]]&lt;=K$427,K$427,IF(Tabell2[[#This Row],[Inntekt]]&gt;=K$428,K$428,Tabell2[[#This Row],[Inntekt]]))</f>
        <v>380500</v>
      </c>
      <c r="U3" s="10">
        <f>IF(Tabell2[[#This Row],[NIBR11-T]]&lt;=L$430,100,IF(Tabell2[[#This Row],[NIBR11-T]]&gt;=L$429,0,100*(L$429-Tabell2[[#This Row],[NIBR11-T]])/L$432))</f>
        <v>60</v>
      </c>
      <c r="V3" s="10">
        <f>(M$429-Tabell2[[#This Row],[ReisetidOslo-T]])*100/M$432</f>
        <v>89.908077778787543</v>
      </c>
      <c r="W3" s="10">
        <f>100-(N$429-Tabell2[[#This Row],[Beftettotal-T]])*100/N$432</f>
        <v>34.799566495129653</v>
      </c>
      <c r="X3" s="10">
        <f>100-(O$429-Tabell2[[#This Row],[Befvekst10-T]])*100/O$432</f>
        <v>69.220288783710402</v>
      </c>
      <c r="Y3" s="10">
        <f>100-(P$429-Tabell2[[#This Row],[Kvinneandel-T]])*100/P$432</f>
        <v>75.959081095153351</v>
      </c>
      <c r="Z3" s="10">
        <f>(Q$429-Tabell2[[#This Row],[Eldreandel-T]])*100/Q$432</f>
        <v>58.1922872674781</v>
      </c>
      <c r="AA3" s="10">
        <f>100-(R$429-Tabell2[[#This Row],[Sysselsettingsvekst10-T]])*100/R$432</f>
        <v>42.508000363102191</v>
      </c>
      <c r="AB3" s="10">
        <f>100-(S$429-Tabell2[[#This Row],[Yrkesaktivandel-T]])*100/S$432</f>
        <v>0</v>
      </c>
      <c r="AC3" s="10">
        <f>100-(T$429-Tabell2[[#This Row],[Inntekt-T]])*100/T$432</f>
        <v>23.736532267022099</v>
      </c>
      <c r="AD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51.646843865277802</v>
      </c>
    </row>
    <row r="4" spans="1:30" x14ac:dyDescent="0.25">
      <c r="A4" s="1" t="s">
        <v>2</v>
      </c>
      <c r="B4" s="1">
        <v>2</v>
      </c>
      <c r="C4">
        <f>'Rådata-K'!N3</f>
        <v>4</v>
      </c>
      <c r="D4" s="30">
        <f>'Rådata-K'!M3</f>
        <v>44.6796875</v>
      </c>
      <c r="E4" s="32">
        <f>'Rådata-K'!O3</f>
        <v>509.78448953909077</v>
      </c>
      <c r="F4" s="32">
        <f>'Rådata-K'!P3</f>
        <v>0.13180595816016494</v>
      </c>
      <c r="G4" s="32">
        <f>'Rådata-K'!Q3</f>
        <v>0.11438886660289443</v>
      </c>
      <c r="H4" s="32">
        <f>'Rådata-K'!R3</f>
        <v>0.16891412349183818</v>
      </c>
      <c r="I4" s="32">
        <f>'Rådata-K'!S3</f>
        <v>-8.203870264377211E-2</v>
      </c>
      <c r="J4" s="32">
        <f>'Rådata-K'!T3</f>
        <v>0.77418664383561642</v>
      </c>
      <c r="K4" s="67">
        <f>'Rådata-K'!L3</f>
        <v>405300</v>
      </c>
      <c r="L4" s="18">
        <f>Tabell2[[#This Row],[NIBR11]]</f>
        <v>4</v>
      </c>
      <c r="M4" s="32">
        <f>IF(Tabell2[[#This Row],[ReisetidOslo]]&lt;=D$427,D$427,IF(Tabell2[[#This Row],[ReisetidOslo]]&gt;=D$428,D$428,Tabell2[[#This Row],[ReisetidOslo]]))</f>
        <v>54.622656249999999</v>
      </c>
      <c r="N4" s="32">
        <f>IF(Tabell2[[#This Row],[Beftettotal]]&lt;=E$427,E$427,IF(Tabell2[[#This Row],[Beftettotal]]&gt;=E$428,E$428,Tabell2[[#This Row],[Beftettotal]]))</f>
        <v>135.41854576488009</v>
      </c>
      <c r="O4" s="32">
        <f>IF(Tabell2[[#This Row],[Befvekst10]]&lt;=F$427,F$427,IF(Tabell2[[#This Row],[Befvekst10]]&gt;=F$428,F$428,Tabell2[[#This Row],[Befvekst10]]))</f>
        <v>0.13180595816016494</v>
      </c>
      <c r="P4" s="32">
        <f>IF(Tabell2[[#This Row],[Kvinneandel]]&lt;=G$427,G$427,IF(Tabell2[[#This Row],[Kvinneandel]]&gt;=G$428,G$428,Tabell2[[#This Row],[Kvinneandel]]))</f>
        <v>0.11438886660289443</v>
      </c>
      <c r="Q4" s="32">
        <f>IF(Tabell2[[#This Row],[Eldreandel]]&lt;=H$427,H$427,IF(Tabell2[[#This Row],[Eldreandel]]&gt;=H$428,H$428,Tabell2[[#This Row],[Eldreandel]]))</f>
        <v>0.16891412349183818</v>
      </c>
      <c r="R4" s="32">
        <f>IF(Tabell2[[#This Row],[Sysselsettingsvekst10]]&lt;=I$427,I$427,IF(Tabell2[[#This Row],[Sysselsettingsvekst10]]&gt;=I$428,I$428,Tabell2[[#This Row],[Sysselsettingsvekst10]]))</f>
        <v>-8.203870264377211E-2</v>
      </c>
      <c r="S4" s="32">
        <f>IF(Tabell2[[#This Row],[Yrkesaktivandel]]&lt;=J$427,J$427,IF(Tabell2[[#This Row],[Yrkesaktivandel]]&gt;=J$428,J$428,Tabell2[[#This Row],[Yrkesaktivandel]]))</f>
        <v>0.7970451171433347</v>
      </c>
      <c r="T4" s="67">
        <f>IF(Tabell2[[#This Row],[Inntekt]]&lt;=K$427,K$427,IF(Tabell2[[#This Row],[Inntekt]]&gt;=K$428,K$428,Tabell2[[#This Row],[Inntekt]]))</f>
        <v>405300</v>
      </c>
      <c r="U4" s="10">
        <f>IF(Tabell2[[#This Row],[NIBR11-T]]&lt;=L$430,100,IF(Tabell2[[#This Row],[NIBR11-T]]&gt;=L$429,0,100*(L$429-Tabell2[[#This Row],[NIBR11-T]])/L$432))</f>
        <v>70</v>
      </c>
      <c r="V4" s="10">
        <f>(M$429-Tabell2[[#This Row],[ReisetidOslo-T]])*100/M$432</f>
        <v>100</v>
      </c>
      <c r="W4" s="10">
        <f>100-(N$429-Tabell2[[#This Row],[Beftettotal-T]])*100/N$432</f>
        <v>100</v>
      </c>
      <c r="X4" s="10">
        <f>100-(O$429-Tabell2[[#This Row],[Befvekst10-T]])*100/O$432</f>
        <v>80.267358085218021</v>
      </c>
      <c r="Y4" s="10">
        <f>100-(P$429-Tabell2[[#This Row],[Kvinneandel-T]])*100/P$432</f>
        <v>64.638382068004731</v>
      </c>
      <c r="Z4" s="10">
        <f>(Q$429-Tabell2[[#This Row],[Eldreandel-T]])*100/Q$432</f>
        <v>58.372142542026012</v>
      </c>
      <c r="AA4" s="10">
        <f>100-(R$429-Tabell2[[#This Row],[Sysselsettingsvekst10-T]])*100/R$432</f>
        <v>8.6624746130069639</v>
      </c>
      <c r="AB4" s="10">
        <f>100-(S$429-Tabell2[[#This Row],[Yrkesaktivandel-T]])*100/S$432</f>
        <v>0</v>
      </c>
      <c r="AC4" s="10">
        <f>100-(T$429-Tabell2[[#This Row],[Inntekt-T]])*100/T$432</f>
        <v>51.282905698100635</v>
      </c>
      <c r="AD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62.198535878655903</v>
      </c>
    </row>
    <row r="5" spans="1:30" x14ac:dyDescent="0.25">
      <c r="A5" s="1" t="s">
        <v>3</v>
      </c>
      <c r="B5" s="1">
        <v>3</v>
      </c>
      <c r="C5">
        <f>'Rådata-K'!N4</f>
        <v>2</v>
      </c>
      <c r="D5" s="30">
        <f>'Rådata-K'!M4</f>
        <v>61.8515625</v>
      </c>
      <c r="E5" s="32">
        <f>'Rådata-K'!O4</f>
        <v>135.91134340869309</v>
      </c>
      <c r="F5" s="32">
        <f>'Rådata-K'!P4</f>
        <v>8.9617140711165666E-2</v>
      </c>
      <c r="G5" s="32">
        <f>'Rådata-K'!Q4</f>
        <v>0.11845375224481651</v>
      </c>
      <c r="H5" s="32">
        <f>'Rådata-K'!R4</f>
        <v>0.16195330781649644</v>
      </c>
      <c r="I5" s="32">
        <f>'Rådata-K'!S4</f>
        <v>0.2092857778173085</v>
      </c>
      <c r="J5" s="32">
        <f>'Rådata-K'!T4</f>
        <v>0.76339187533381503</v>
      </c>
      <c r="K5" s="67">
        <f>'Rådata-K'!L4</f>
        <v>381400</v>
      </c>
      <c r="L5" s="18">
        <f>Tabell2[[#This Row],[NIBR11]]</f>
        <v>2</v>
      </c>
      <c r="M5" s="32">
        <f>IF(Tabell2[[#This Row],[ReisetidOslo]]&lt;=D$427,D$427,IF(Tabell2[[#This Row],[ReisetidOslo]]&gt;=D$428,D$428,Tabell2[[#This Row],[ReisetidOslo]]))</f>
        <v>61.8515625</v>
      </c>
      <c r="N5" s="32">
        <f>IF(Tabell2[[#This Row],[Beftettotal]]&lt;=E$427,E$427,IF(Tabell2[[#This Row],[Beftettotal]]&gt;=E$428,E$428,Tabell2[[#This Row],[Beftettotal]]))</f>
        <v>135.41854576488009</v>
      </c>
      <c r="O5" s="32">
        <f>IF(Tabell2[[#This Row],[Befvekst10]]&lt;=F$427,F$427,IF(Tabell2[[#This Row],[Befvekst10]]&gt;=F$428,F$428,Tabell2[[#This Row],[Befvekst10]]))</f>
        <v>8.9617140711165666E-2</v>
      </c>
      <c r="P5" s="32">
        <f>IF(Tabell2[[#This Row],[Kvinneandel]]&lt;=G$427,G$427,IF(Tabell2[[#This Row],[Kvinneandel]]&gt;=G$428,G$428,Tabell2[[#This Row],[Kvinneandel]]))</f>
        <v>0.11845375224481651</v>
      </c>
      <c r="Q5" s="32">
        <f>IF(Tabell2[[#This Row],[Eldreandel]]&lt;=H$427,H$427,IF(Tabell2[[#This Row],[Eldreandel]]&gt;=H$428,H$428,Tabell2[[#This Row],[Eldreandel]]))</f>
        <v>0.16195330781649644</v>
      </c>
      <c r="R5" s="32">
        <f>IF(Tabell2[[#This Row],[Sysselsettingsvekst10]]&lt;=I$427,I$427,IF(Tabell2[[#This Row],[Sysselsettingsvekst10]]&gt;=I$428,I$428,Tabell2[[#This Row],[Sysselsettingsvekst10]]))</f>
        <v>0.17904192152607218</v>
      </c>
      <c r="S5" s="32">
        <f>IF(Tabell2[[#This Row],[Yrkesaktivandel]]&lt;=J$427,J$427,IF(Tabell2[[#This Row],[Yrkesaktivandel]]&gt;=J$428,J$428,Tabell2[[#This Row],[Yrkesaktivandel]]))</f>
        <v>0.7970451171433347</v>
      </c>
      <c r="T5" s="67">
        <f>IF(Tabell2[[#This Row],[Inntekt]]&lt;=K$427,K$427,IF(Tabell2[[#This Row],[Inntekt]]&gt;=K$428,K$428,Tabell2[[#This Row],[Inntekt]]))</f>
        <v>381400</v>
      </c>
      <c r="U5" s="10">
        <f>IF(Tabell2[[#This Row],[NIBR11-T]]&lt;=L$430,100,IF(Tabell2[[#This Row],[NIBR11-T]]&gt;=L$429,0,100*(L$429-Tabell2[[#This Row],[NIBR11-T]])/L$432))</f>
        <v>90</v>
      </c>
      <c r="V5" s="10">
        <f>(M$429-Tabell2[[#This Row],[ReisetidOslo-T]])*100/M$432</f>
        <v>96.8855499345336</v>
      </c>
      <c r="W5" s="10">
        <f>100-(N$429-Tabell2[[#This Row],[Beftettotal-T]])*100/N$432</f>
        <v>100</v>
      </c>
      <c r="X5" s="10">
        <f>100-(O$429-Tabell2[[#This Row],[Befvekst10-T]])*100/O$432</f>
        <v>62.093478470714054</v>
      </c>
      <c r="Y5" s="10">
        <f>100-(P$429-Tabell2[[#This Row],[Kvinneandel-T]])*100/P$432</f>
        <v>75.374977492444017</v>
      </c>
      <c r="Z5" s="10">
        <f>(Q$429-Tabell2[[#This Row],[Eldreandel-T]])*100/Q$432</f>
        <v>65.880163737322732</v>
      </c>
      <c r="AA5" s="10">
        <f>100-(R$429-Tabell2[[#This Row],[Sysselsettingsvekst10-T]])*100/R$432</f>
        <v>100</v>
      </c>
      <c r="AB5" s="10">
        <f>100-(S$429-Tabell2[[#This Row],[Yrkesaktivandel-T]])*100/S$432</f>
        <v>0</v>
      </c>
      <c r="AC5" s="10">
        <f>100-(T$429-Tabell2[[#This Row],[Inntekt-T]])*100/T$432</f>
        <v>24.736199044762856</v>
      </c>
      <c r="AD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69.643627653560785</v>
      </c>
    </row>
    <row r="6" spans="1:30" x14ac:dyDescent="0.25">
      <c r="A6" s="1" t="s">
        <v>4</v>
      </c>
      <c r="B6" s="1">
        <v>4</v>
      </c>
      <c r="C6">
        <f>'Rådata-K'!N5</f>
        <v>2</v>
      </c>
      <c r="D6" s="30">
        <f>'Rådata-K'!M5</f>
        <v>65.515625</v>
      </c>
      <c r="E6" s="32">
        <f>'Rådata-K'!O5</f>
        <v>273.87113313963425</v>
      </c>
      <c r="F6" s="32">
        <f>'Rådata-K'!P5</f>
        <v>0.12376397323870569</v>
      </c>
      <c r="G6" s="32">
        <f>'Rådata-K'!Q5</f>
        <v>0.11882028431996605</v>
      </c>
      <c r="H6" s="32">
        <f>'Rådata-K'!R5</f>
        <v>0.15803597059447586</v>
      </c>
      <c r="I6" s="32">
        <f>'Rådata-K'!S5</f>
        <v>-6.4932767162066529E-2</v>
      </c>
      <c r="J6" s="32">
        <f>'Rådata-K'!T5</f>
        <v>0.77887542847409996</v>
      </c>
      <c r="K6" s="67">
        <f>'Rådata-K'!L5</f>
        <v>396600</v>
      </c>
      <c r="L6" s="18">
        <f>Tabell2[[#This Row],[NIBR11]]</f>
        <v>2</v>
      </c>
      <c r="M6" s="32">
        <f>IF(Tabell2[[#This Row],[ReisetidOslo]]&lt;=D$427,D$427,IF(Tabell2[[#This Row],[ReisetidOslo]]&gt;=D$428,D$428,Tabell2[[#This Row],[ReisetidOslo]]))</f>
        <v>65.515625</v>
      </c>
      <c r="N6" s="32">
        <f>IF(Tabell2[[#This Row],[Beftettotal]]&lt;=E$427,E$427,IF(Tabell2[[#This Row],[Beftettotal]]&gt;=E$428,E$428,Tabell2[[#This Row],[Beftettotal]]))</f>
        <v>135.41854576488009</v>
      </c>
      <c r="O6" s="32">
        <f>IF(Tabell2[[#This Row],[Befvekst10]]&lt;=F$427,F$427,IF(Tabell2[[#This Row],[Befvekst10]]&gt;=F$428,F$428,Tabell2[[#This Row],[Befvekst10]]))</f>
        <v>0.12376397323870569</v>
      </c>
      <c r="P6" s="32">
        <f>IF(Tabell2[[#This Row],[Kvinneandel]]&lt;=G$427,G$427,IF(Tabell2[[#This Row],[Kvinneandel]]&gt;=G$428,G$428,Tabell2[[#This Row],[Kvinneandel]]))</f>
        <v>0.11882028431996605</v>
      </c>
      <c r="Q6" s="32">
        <f>IF(Tabell2[[#This Row],[Eldreandel]]&lt;=H$427,H$427,IF(Tabell2[[#This Row],[Eldreandel]]&gt;=H$428,H$428,Tabell2[[#This Row],[Eldreandel]]))</f>
        <v>0.15803597059447586</v>
      </c>
      <c r="R6" s="32">
        <f>IF(Tabell2[[#This Row],[Sysselsettingsvekst10]]&lt;=I$427,I$427,IF(Tabell2[[#This Row],[Sysselsettingsvekst10]]&gt;=I$428,I$428,Tabell2[[#This Row],[Sysselsettingsvekst10]]))</f>
        <v>-6.4932767162066529E-2</v>
      </c>
      <c r="S6" s="32">
        <f>IF(Tabell2[[#This Row],[Yrkesaktivandel]]&lt;=J$427,J$427,IF(Tabell2[[#This Row],[Yrkesaktivandel]]&gt;=J$428,J$428,Tabell2[[#This Row],[Yrkesaktivandel]]))</f>
        <v>0.7970451171433347</v>
      </c>
      <c r="T6" s="67">
        <f>IF(Tabell2[[#This Row],[Inntekt]]&lt;=K$427,K$427,IF(Tabell2[[#This Row],[Inntekt]]&gt;=K$428,K$428,Tabell2[[#This Row],[Inntekt]]))</f>
        <v>396600</v>
      </c>
      <c r="U6" s="10">
        <f>IF(Tabell2[[#This Row],[NIBR11-T]]&lt;=L$430,100,IF(Tabell2[[#This Row],[NIBR11-T]]&gt;=L$429,0,100*(L$429-Tabell2[[#This Row],[NIBR11-T]])/L$432))</f>
        <v>90</v>
      </c>
      <c r="V6" s="10">
        <f>(M$429-Tabell2[[#This Row],[ReisetidOslo-T]])*100/M$432</f>
        <v>95.306951554868917</v>
      </c>
      <c r="W6" s="10">
        <f>100-(N$429-Tabell2[[#This Row],[Beftettotal-T]])*100/N$432</f>
        <v>100</v>
      </c>
      <c r="X6" s="10">
        <f>100-(O$429-Tabell2[[#This Row],[Befvekst10-T]])*100/O$432</f>
        <v>76.803073597961713</v>
      </c>
      <c r="Y6" s="10">
        <f>100-(P$429-Tabell2[[#This Row],[Kvinneandel-T]])*100/P$432</f>
        <v>76.343099832805848</v>
      </c>
      <c r="Z6" s="10">
        <f>(Q$429-Tabell2[[#This Row],[Eldreandel-T]])*100/Q$432</f>
        <v>70.10545172997044</v>
      </c>
      <c r="AA6" s="10">
        <f>100-(R$429-Tabell2[[#This Row],[Sysselsettingsvekst10-T]])*100/R$432</f>
        <v>14.646885831941887</v>
      </c>
      <c r="AB6" s="10">
        <f>100-(S$429-Tabell2[[#This Row],[Yrkesaktivandel-T]])*100/S$432</f>
        <v>0</v>
      </c>
      <c r="AC6" s="10">
        <f>100-(T$429-Tabell2[[#This Row],[Inntekt-T]])*100/T$432</f>
        <v>41.61946017994002</v>
      </c>
      <c r="AD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65.840372054406245</v>
      </c>
    </row>
    <row r="7" spans="1:30" x14ac:dyDescent="0.25">
      <c r="A7" s="1" t="s">
        <v>5</v>
      </c>
      <c r="B7" s="1">
        <v>5</v>
      </c>
      <c r="C7">
        <f>'Rådata-K'!N6</f>
        <v>3</v>
      </c>
      <c r="D7" s="30">
        <f>'Rådata-K'!M6</f>
        <v>91.28125</v>
      </c>
      <c r="E7" s="32">
        <f>'Rådata-K'!O6</f>
        <v>50.122059476253881</v>
      </c>
      <c r="F7" s="32">
        <f>'Rådata-K'!P6</f>
        <v>0.16417525773195885</v>
      </c>
      <c r="G7" s="32">
        <f>'Rådata-K'!Q6</f>
        <v>8.7890192605711751E-2</v>
      </c>
      <c r="H7" s="32">
        <f>'Rådata-K'!R6</f>
        <v>0.20456054903697143</v>
      </c>
      <c r="I7" s="32">
        <f>'Rådata-K'!S6</f>
        <v>0.13511029411764697</v>
      </c>
      <c r="J7" s="32">
        <f>'Rådata-K'!T6</f>
        <v>0.822739834188709</v>
      </c>
      <c r="K7" s="67">
        <f>'Rådata-K'!L6</f>
        <v>434400</v>
      </c>
      <c r="L7" s="18">
        <f>Tabell2[[#This Row],[NIBR11]]</f>
        <v>3</v>
      </c>
      <c r="M7" s="32">
        <f>IF(Tabell2[[#This Row],[ReisetidOslo]]&lt;=D$427,D$427,IF(Tabell2[[#This Row],[ReisetidOslo]]&gt;=D$428,D$428,Tabell2[[#This Row],[ReisetidOslo]]))</f>
        <v>91.28125</v>
      </c>
      <c r="N7" s="32">
        <f>IF(Tabell2[[#This Row],[Beftettotal]]&lt;=E$427,E$427,IF(Tabell2[[#This Row],[Beftettotal]]&gt;=E$428,E$428,Tabell2[[#This Row],[Beftettotal]]))</f>
        <v>50.122059476253881</v>
      </c>
      <c r="O7" s="32">
        <f>IF(Tabell2[[#This Row],[Befvekst10]]&lt;=F$427,F$427,IF(Tabell2[[#This Row],[Befvekst10]]&gt;=F$428,F$428,Tabell2[[#This Row],[Befvekst10]]))</f>
        <v>0.16417525773195885</v>
      </c>
      <c r="P7" s="32">
        <f>IF(Tabell2[[#This Row],[Kvinneandel]]&lt;=G$427,G$427,IF(Tabell2[[#This Row],[Kvinneandel]]&gt;=G$428,G$428,Tabell2[[#This Row],[Kvinneandel]]))</f>
        <v>8.9916711250255951E-2</v>
      </c>
      <c r="Q7" s="32">
        <f>IF(Tabell2[[#This Row],[Eldreandel]]&lt;=H$427,H$427,IF(Tabell2[[#This Row],[Eldreandel]]&gt;=H$428,H$428,Tabell2[[#This Row],[Eldreandel]]))</f>
        <v>0.20456054903697143</v>
      </c>
      <c r="R7" s="32">
        <f>IF(Tabell2[[#This Row],[Sysselsettingsvekst10]]&lt;=I$427,I$427,IF(Tabell2[[#This Row],[Sysselsettingsvekst10]]&gt;=I$428,I$428,Tabell2[[#This Row],[Sysselsettingsvekst10]]))</f>
        <v>0.13511029411764697</v>
      </c>
      <c r="S7" s="32">
        <f>IF(Tabell2[[#This Row],[Yrkesaktivandel]]&lt;=J$427,J$427,IF(Tabell2[[#This Row],[Yrkesaktivandel]]&gt;=J$428,J$428,Tabell2[[#This Row],[Yrkesaktivandel]]))</f>
        <v>0.822739834188709</v>
      </c>
      <c r="T7" s="67">
        <f>IF(Tabell2[[#This Row],[Inntekt]]&lt;=K$427,K$427,IF(Tabell2[[#This Row],[Inntekt]]&gt;=K$428,K$428,Tabell2[[#This Row],[Inntekt]]))</f>
        <v>434400</v>
      </c>
      <c r="U7" s="10">
        <f>IF(Tabell2[[#This Row],[NIBR11-T]]&lt;=L$430,100,IF(Tabell2[[#This Row],[NIBR11-T]]&gt;=L$429,0,100*(L$429-Tabell2[[#This Row],[NIBR11-T]])/L$432))</f>
        <v>80</v>
      </c>
      <c r="V7" s="10">
        <f>(M$429-Tabell2[[#This Row],[ReisetidOslo-T]])*100/M$432</f>
        <v>84.206274676118056</v>
      </c>
      <c r="W7" s="10">
        <f>100-(N$429-Tabell2[[#This Row],[Beftettotal-T]])*100/N$432</f>
        <v>36.428028822005437</v>
      </c>
      <c r="X7" s="10">
        <f>100-(O$429-Tabell2[[#This Row],[Befvekst10-T]])*100/O$432</f>
        <v>94.21123679987376</v>
      </c>
      <c r="Y7" s="10">
        <f>100-(P$429-Tabell2[[#This Row],[Kvinneandel-T]])*100/P$432</f>
        <v>0</v>
      </c>
      <c r="Z7" s="10">
        <f>(Q$429-Tabell2[[#This Row],[Eldreandel-T]])*100/Q$432</f>
        <v>19.923470574241506</v>
      </c>
      <c r="AA7" s="10">
        <f>100-(R$429-Tabell2[[#This Row],[Sysselsettingsvekst10-T]])*100/R$432</f>
        <v>84.630777766569992</v>
      </c>
      <c r="AB7" s="10">
        <f>100-(S$429-Tabell2[[#This Row],[Yrkesaktivandel-T]])*100/S$432</f>
        <v>19.929949506147125</v>
      </c>
      <c r="AC7" s="10">
        <f>100-(T$429-Tabell2[[#This Row],[Inntekt-T]])*100/T$432</f>
        <v>83.605464845051642</v>
      </c>
      <c r="AD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66.718470450276072</v>
      </c>
    </row>
    <row r="8" spans="1:30" x14ac:dyDescent="0.25">
      <c r="A8" s="1" t="s">
        <v>6</v>
      </c>
      <c r="B8" s="1">
        <v>6</v>
      </c>
      <c r="C8">
        <f>'Rådata-K'!N7</f>
        <v>5</v>
      </c>
      <c r="D8" s="30">
        <f>'Rådata-K'!M7</f>
        <v>92.90625</v>
      </c>
      <c r="E8" s="32">
        <f>'Rådata-K'!O7</f>
        <v>4.3787389983399629</v>
      </c>
      <c r="F8" s="32">
        <f>'Rådata-K'!P7</f>
        <v>-1.3408609738884913E-2</v>
      </c>
      <c r="G8" s="32">
        <f>'Rådata-K'!Q7</f>
        <v>8.3690987124463517E-2</v>
      </c>
      <c r="H8" s="32">
        <f>'Rådata-K'!R7</f>
        <v>0.19170243204577969</v>
      </c>
      <c r="I8" s="32">
        <f>'Rådata-K'!S7</f>
        <v>-4.6321525885558601E-2</v>
      </c>
      <c r="J8" s="32">
        <f>'Rådata-K'!T7</f>
        <v>0.81794871794871793</v>
      </c>
      <c r="K8" s="67">
        <f>'Rådata-K'!L7</f>
        <v>392700</v>
      </c>
      <c r="L8" s="18">
        <f>Tabell2[[#This Row],[NIBR11]]</f>
        <v>5</v>
      </c>
      <c r="M8" s="32">
        <f>IF(Tabell2[[#This Row],[ReisetidOslo]]&lt;=D$427,D$427,IF(Tabell2[[#This Row],[ReisetidOslo]]&gt;=D$428,D$428,Tabell2[[#This Row],[ReisetidOslo]]))</f>
        <v>92.90625</v>
      </c>
      <c r="N8" s="32">
        <f>IF(Tabell2[[#This Row],[Beftettotal]]&lt;=E$427,E$427,IF(Tabell2[[#This Row],[Beftettotal]]&gt;=E$428,E$428,Tabell2[[#This Row],[Beftettotal]]))</f>
        <v>4.3787389983399629</v>
      </c>
      <c r="O8" s="32">
        <f>IF(Tabell2[[#This Row],[Befvekst10]]&lt;=F$427,F$427,IF(Tabell2[[#This Row],[Befvekst10]]&gt;=F$428,F$428,Tabell2[[#This Row],[Befvekst10]]))</f>
        <v>-1.3408609738884913E-2</v>
      </c>
      <c r="P8" s="32">
        <f>IF(Tabell2[[#This Row],[Kvinneandel]]&lt;=G$427,G$427,IF(Tabell2[[#This Row],[Kvinneandel]]&gt;=G$428,G$428,Tabell2[[#This Row],[Kvinneandel]]))</f>
        <v>8.9916711250255951E-2</v>
      </c>
      <c r="Q8" s="32">
        <f>IF(Tabell2[[#This Row],[Eldreandel]]&lt;=H$427,H$427,IF(Tabell2[[#This Row],[Eldreandel]]&gt;=H$428,H$428,Tabell2[[#This Row],[Eldreandel]]))</f>
        <v>0.19170243204577969</v>
      </c>
      <c r="R8" s="32">
        <f>IF(Tabell2[[#This Row],[Sysselsettingsvekst10]]&lt;=I$427,I$427,IF(Tabell2[[#This Row],[Sysselsettingsvekst10]]&gt;=I$428,I$428,Tabell2[[#This Row],[Sysselsettingsvekst10]]))</f>
        <v>-4.6321525885558601E-2</v>
      </c>
      <c r="S8" s="32">
        <f>IF(Tabell2[[#This Row],[Yrkesaktivandel]]&lt;=J$427,J$427,IF(Tabell2[[#This Row],[Yrkesaktivandel]]&gt;=J$428,J$428,Tabell2[[#This Row],[Yrkesaktivandel]]))</f>
        <v>0.81794871794871793</v>
      </c>
      <c r="T8" s="67">
        <f>IF(Tabell2[[#This Row],[Inntekt]]&lt;=K$427,K$427,IF(Tabell2[[#This Row],[Inntekt]]&gt;=K$428,K$428,Tabell2[[#This Row],[Inntekt]]))</f>
        <v>392700</v>
      </c>
      <c r="U8" s="10">
        <f>IF(Tabell2[[#This Row],[NIBR11-T]]&lt;=L$430,100,IF(Tabell2[[#This Row],[NIBR11-T]]&gt;=L$429,0,100*(L$429-Tabell2[[#This Row],[NIBR11-T]])/L$432))</f>
        <v>60</v>
      </c>
      <c r="V8" s="10">
        <f>(M$429-Tabell2[[#This Row],[ReisetidOslo-T]])*100/M$432</f>
        <v>83.506171343558876</v>
      </c>
      <c r="W8" s="10">
        <f>100-(N$429-Tabell2[[#This Row],[Beftettotal-T]])*100/N$432</f>
        <v>2.3352639551427359</v>
      </c>
      <c r="X8" s="10">
        <f>100-(O$429-Tabell2[[#This Row],[Befvekst10-T]])*100/O$432</f>
        <v>17.712580899062388</v>
      </c>
      <c r="Y8" s="10">
        <f>100-(P$429-Tabell2[[#This Row],[Kvinneandel-T]])*100/P$432</f>
        <v>0</v>
      </c>
      <c r="Z8" s="10">
        <f>(Q$429-Tabell2[[#This Row],[Eldreandel-T]])*100/Q$432</f>
        <v>33.792393327569968</v>
      </c>
      <c r="AA8" s="10">
        <f>100-(R$429-Tabell2[[#This Row],[Sysselsettingsvekst10-T]])*100/R$432</f>
        <v>21.157919456063439</v>
      </c>
      <c r="AB8" s="10">
        <f>100-(S$429-Tabell2[[#This Row],[Yrkesaktivandel-T]])*100/S$432</f>
        <v>16.213749612897331</v>
      </c>
      <c r="AC8" s="10">
        <f>100-(T$429-Tabell2[[#This Row],[Inntekt-T]])*100/T$432</f>
        <v>37.287570809730092</v>
      </c>
      <c r="AD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33.282203363930222</v>
      </c>
    </row>
    <row r="9" spans="1:30" x14ac:dyDescent="0.25">
      <c r="A9" s="1" t="s">
        <v>7</v>
      </c>
      <c r="B9" s="1">
        <v>7</v>
      </c>
      <c r="C9">
        <f>'Rådata-K'!N8</f>
        <v>5</v>
      </c>
      <c r="D9" s="30">
        <f>'Rådata-K'!M8</f>
        <v>67.640625</v>
      </c>
      <c r="E9" s="32">
        <f>'Rådata-K'!O8</f>
        <v>8.7115524340033907</v>
      </c>
      <c r="F9" s="32">
        <f>'Rådata-K'!P8</f>
        <v>2.2746659084446952E-2</v>
      </c>
      <c r="G9" s="32">
        <f>'Rådata-K'!Q8</f>
        <v>9.6191270503197104E-2</v>
      </c>
      <c r="H9" s="32">
        <f>'Rådata-K'!R8</f>
        <v>0.21740339171531833</v>
      </c>
      <c r="I9" s="32">
        <f>'Rådata-K'!S8</f>
        <v>-0.1212814645308925</v>
      </c>
      <c r="J9" s="32">
        <f>'Rådata-K'!T8</f>
        <v>0.81183069862315149</v>
      </c>
      <c r="K9" s="67">
        <f>'Rådata-K'!L8</f>
        <v>390600</v>
      </c>
      <c r="L9" s="18">
        <f>Tabell2[[#This Row],[NIBR11]]</f>
        <v>5</v>
      </c>
      <c r="M9" s="32">
        <f>IF(Tabell2[[#This Row],[ReisetidOslo]]&lt;=D$427,D$427,IF(Tabell2[[#This Row],[ReisetidOslo]]&gt;=D$428,D$428,Tabell2[[#This Row],[ReisetidOslo]]))</f>
        <v>67.640625</v>
      </c>
      <c r="N9" s="32">
        <f>IF(Tabell2[[#This Row],[Beftettotal]]&lt;=E$427,E$427,IF(Tabell2[[#This Row],[Beftettotal]]&gt;=E$428,E$428,Tabell2[[#This Row],[Beftettotal]]))</f>
        <v>8.7115524340033907</v>
      </c>
      <c r="O9" s="32">
        <f>IF(Tabell2[[#This Row],[Befvekst10]]&lt;=F$427,F$427,IF(Tabell2[[#This Row],[Befvekst10]]&gt;=F$428,F$428,Tabell2[[#This Row],[Befvekst10]]))</f>
        <v>2.2746659084446952E-2</v>
      </c>
      <c r="P9" s="32">
        <f>IF(Tabell2[[#This Row],[Kvinneandel]]&lt;=G$427,G$427,IF(Tabell2[[#This Row],[Kvinneandel]]&gt;=G$428,G$428,Tabell2[[#This Row],[Kvinneandel]]))</f>
        <v>9.6191270503197104E-2</v>
      </c>
      <c r="Q9" s="32">
        <f>IF(Tabell2[[#This Row],[Eldreandel]]&lt;=H$427,H$427,IF(Tabell2[[#This Row],[Eldreandel]]&gt;=H$428,H$428,Tabell2[[#This Row],[Eldreandel]]))</f>
        <v>0.21740339171531833</v>
      </c>
      <c r="R9" s="32">
        <f>IF(Tabell2[[#This Row],[Sysselsettingsvekst10]]&lt;=I$427,I$427,IF(Tabell2[[#This Row],[Sysselsettingsvekst10]]&gt;=I$428,I$428,Tabell2[[#This Row],[Sysselsettingsvekst10]]))</f>
        <v>-0.10679965679965678</v>
      </c>
      <c r="S9" s="32">
        <f>IF(Tabell2[[#This Row],[Yrkesaktivandel]]&lt;=J$427,J$427,IF(Tabell2[[#This Row],[Yrkesaktivandel]]&gt;=J$428,J$428,Tabell2[[#This Row],[Yrkesaktivandel]]))</f>
        <v>0.81183069862315149</v>
      </c>
      <c r="T9" s="67">
        <f>IF(Tabell2[[#This Row],[Inntekt]]&lt;=K$427,K$427,IF(Tabell2[[#This Row],[Inntekt]]&gt;=K$428,K$428,Tabell2[[#This Row],[Inntekt]]))</f>
        <v>390600</v>
      </c>
      <c r="U9" s="10">
        <f>IF(Tabell2[[#This Row],[NIBR11-T]]&lt;=L$430,100,IF(Tabell2[[#This Row],[NIBR11-T]]&gt;=L$429,0,100*(L$429-Tabell2[[#This Row],[NIBR11-T]])/L$432))</f>
        <v>60</v>
      </c>
      <c r="V9" s="10">
        <f>(M$429-Tabell2[[#This Row],[ReisetidOslo-T]])*100/M$432</f>
        <v>94.391431812291529</v>
      </c>
      <c r="W9" s="10">
        <f>100-(N$429-Tabell2[[#This Row],[Beftettotal-T]])*100/N$432</f>
        <v>5.5645352046004319</v>
      </c>
      <c r="X9" s="10">
        <f>100-(O$429-Tabell2[[#This Row],[Befvekst10-T]])*100/O$432</f>
        <v>33.287359780209897</v>
      </c>
      <c r="Y9" s="10">
        <f>100-(P$429-Tabell2[[#This Row],[Kvinneandel-T]])*100/P$432</f>
        <v>16.573013388304474</v>
      </c>
      <c r="Z9" s="10">
        <f>(Q$429-Tabell2[[#This Row],[Eldreandel-T]])*100/Q$432</f>
        <v>6.071022882160376</v>
      </c>
      <c r="AA9" s="10">
        <f>100-(R$429-Tabell2[[#This Row],[Sysselsettingsvekst10-T]])*100/R$432</f>
        <v>0</v>
      </c>
      <c r="AB9" s="10">
        <f>100-(S$429-Tabell2[[#This Row],[Yrkesaktivandel-T]])*100/S$432</f>
        <v>11.468345488740141</v>
      </c>
      <c r="AC9" s="10">
        <f>100-(T$429-Tabell2[[#This Row],[Inntekt-T]])*100/T$432</f>
        <v>34.955014995001662</v>
      </c>
      <c r="AD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34.427606519628604</v>
      </c>
    </row>
    <row r="10" spans="1:30" x14ac:dyDescent="0.25">
      <c r="A10" s="1" t="s">
        <v>8</v>
      </c>
      <c r="B10" s="1">
        <v>8</v>
      </c>
      <c r="C10">
        <f>'Rådata-K'!N9</f>
        <v>1</v>
      </c>
      <c r="D10" s="30">
        <f>'Rådata-K'!M9</f>
        <v>71.359375</v>
      </c>
      <c r="E10" s="32">
        <f>'Rådata-K'!O9</f>
        <v>3.7403079611226389</v>
      </c>
      <c r="F10" s="32">
        <f>'Rådata-K'!P9</f>
        <v>3.9453717754172946E-2</v>
      </c>
      <c r="G10" s="32">
        <f>'Rådata-K'!Q9</f>
        <v>9.0510948905109495E-2</v>
      </c>
      <c r="H10" s="32">
        <f>'Rådata-K'!R9</f>
        <v>0.20583941605839415</v>
      </c>
      <c r="I10" s="32">
        <f>'Rådata-K'!S9</f>
        <v>0.14948453608247414</v>
      </c>
      <c r="J10" s="32">
        <f>'Rådata-K'!T9</f>
        <v>0.9050131926121372</v>
      </c>
      <c r="K10" s="67">
        <f>'Rådata-K'!L9</f>
        <v>432900</v>
      </c>
      <c r="L10" s="18">
        <f>Tabell2[[#This Row],[NIBR11]]</f>
        <v>1</v>
      </c>
      <c r="M10" s="32">
        <f>IF(Tabell2[[#This Row],[ReisetidOslo]]&lt;=D$427,D$427,IF(Tabell2[[#This Row],[ReisetidOslo]]&gt;=D$428,D$428,Tabell2[[#This Row],[ReisetidOslo]]))</f>
        <v>71.359375</v>
      </c>
      <c r="N10" s="32">
        <f>IF(Tabell2[[#This Row],[Beftettotal]]&lt;=E$427,E$427,IF(Tabell2[[#This Row],[Beftettotal]]&gt;=E$428,E$428,Tabell2[[#This Row],[Beftettotal]]))</f>
        <v>3.7403079611226389</v>
      </c>
      <c r="O10" s="32">
        <f>IF(Tabell2[[#This Row],[Befvekst10]]&lt;=F$427,F$427,IF(Tabell2[[#This Row],[Befvekst10]]&gt;=F$428,F$428,Tabell2[[#This Row],[Befvekst10]]))</f>
        <v>3.9453717754172946E-2</v>
      </c>
      <c r="P10" s="32">
        <f>IF(Tabell2[[#This Row],[Kvinneandel]]&lt;=G$427,G$427,IF(Tabell2[[#This Row],[Kvinneandel]]&gt;=G$428,G$428,Tabell2[[#This Row],[Kvinneandel]]))</f>
        <v>9.0510948905109495E-2</v>
      </c>
      <c r="Q10" s="32">
        <f>IF(Tabell2[[#This Row],[Eldreandel]]&lt;=H$427,H$427,IF(Tabell2[[#This Row],[Eldreandel]]&gt;=H$428,H$428,Tabell2[[#This Row],[Eldreandel]]))</f>
        <v>0.20583941605839415</v>
      </c>
      <c r="R10" s="32">
        <f>IF(Tabell2[[#This Row],[Sysselsettingsvekst10]]&lt;=I$427,I$427,IF(Tabell2[[#This Row],[Sysselsettingsvekst10]]&gt;=I$428,I$428,Tabell2[[#This Row],[Sysselsettingsvekst10]]))</f>
        <v>0.14948453608247414</v>
      </c>
      <c r="S10" s="32">
        <f>IF(Tabell2[[#This Row],[Yrkesaktivandel]]&lt;=J$427,J$427,IF(Tabell2[[#This Row],[Yrkesaktivandel]]&gt;=J$428,J$428,Tabell2[[#This Row],[Yrkesaktivandel]]))</f>
        <v>0.9050131926121372</v>
      </c>
      <c r="T10" s="67">
        <f>IF(Tabell2[[#This Row],[Inntekt]]&lt;=K$427,K$427,IF(Tabell2[[#This Row],[Inntekt]]&gt;=K$428,K$428,Tabell2[[#This Row],[Inntekt]]))</f>
        <v>432900</v>
      </c>
      <c r="U10" s="10">
        <f>IF(Tabell2[[#This Row],[NIBR11-T]]&lt;=L$430,100,IF(Tabell2[[#This Row],[NIBR11-T]]&gt;=L$429,0,100*(L$429-Tabell2[[#This Row],[NIBR11-T]])/L$432))</f>
        <v>100</v>
      </c>
      <c r="V10" s="10">
        <f>(M$429-Tabell2[[#This Row],[ReisetidOslo-T]])*100/M$432</f>
        <v>92.789272262781097</v>
      </c>
      <c r="W10" s="10">
        <f>100-(N$429-Tabell2[[#This Row],[Beftettotal-T]])*100/N$432</f>
        <v>1.8594375610779252</v>
      </c>
      <c r="X10" s="10">
        <f>100-(O$429-Tabell2[[#This Row],[Befvekst10-T]])*100/O$432</f>
        <v>40.484339722658063</v>
      </c>
      <c r="Y10" s="10">
        <f>100-(P$429-Tabell2[[#This Row],[Kvinneandel-T]])*100/P$432</f>
        <v>1.5695618150559483</v>
      </c>
      <c r="Z10" s="10">
        <f>(Q$429-Tabell2[[#This Row],[Eldreandel-T]])*100/Q$432</f>
        <v>18.544068913481926</v>
      </c>
      <c r="AA10" s="10">
        <f>100-(R$429-Tabell2[[#This Row],[Sysselsettingsvekst10-T]])*100/R$432</f>
        <v>89.6595220272972</v>
      </c>
      <c r="AB10" s="10">
        <f>100-(S$429-Tabell2[[#This Row],[Yrkesaktivandel-T]])*100/S$432</f>
        <v>83.744774794338255</v>
      </c>
      <c r="AC10" s="10">
        <f>100-(T$429-Tabell2[[#This Row],[Inntekt-T]])*100/T$432</f>
        <v>81.939353548817053</v>
      </c>
      <c r="AD1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64.101785500389667</v>
      </c>
    </row>
    <row r="11" spans="1:30" x14ac:dyDescent="0.25">
      <c r="A11" s="1" t="s">
        <v>9</v>
      </c>
      <c r="B11" s="1">
        <v>9</v>
      </c>
      <c r="C11">
        <f>'Rådata-K'!N10</f>
        <v>5</v>
      </c>
      <c r="D11" s="30">
        <f>'Rådata-K'!M10</f>
        <v>56.78125</v>
      </c>
      <c r="E11" s="32">
        <f>'Rådata-K'!O10</f>
        <v>26.250917094644166</v>
      </c>
      <c r="F11" s="32">
        <f>'Rådata-K'!P10</f>
        <v>7.4689627553063742E-2</v>
      </c>
      <c r="G11" s="32">
        <f>'Rådata-K'!Q10</f>
        <v>0.1034097261039687</v>
      </c>
      <c r="H11" s="32">
        <f>'Rådata-K'!R10</f>
        <v>0.16806409539780137</v>
      </c>
      <c r="I11" s="32">
        <f>'Rådata-K'!S10</f>
        <v>7.2563925362819637E-2</v>
      </c>
      <c r="J11" s="32">
        <f>'Rådata-K'!T10</f>
        <v>0.8430868167202572</v>
      </c>
      <c r="K11" s="67">
        <f>'Rådata-K'!L10</f>
        <v>393500</v>
      </c>
      <c r="L11" s="18">
        <f>Tabell2[[#This Row],[NIBR11]]</f>
        <v>5</v>
      </c>
      <c r="M11" s="32">
        <f>IF(Tabell2[[#This Row],[ReisetidOslo]]&lt;=D$427,D$427,IF(Tabell2[[#This Row],[ReisetidOslo]]&gt;=D$428,D$428,Tabell2[[#This Row],[ReisetidOslo]]))</f>
        <v>56.78125</v>
      </c>
      <c r="N11" s="32">
        <f>IF(Tabell2[[#This Row],[Beftettotal]]&lt;=E$427,E$427,IF(Tabell2[[#This Row],[Beftettotal]]&gt;=E$428,E$428,Tabell2[[#This Row],[Beftettotal]]))</f>
        <v>26.250917094644166</v>
      </c>
      <c r="O11" s="32">
        <f>IF(Tabell2[[#This Row],[Befvekst10]]&lt;=F$427,F$427,IF(Tabell2[[#This Row],[Befvekst10]]&gt;=F$428,F$428,Tabell2[[#This Row],[Befvekst10]]))</f>
        <v>7.4689627553063742E-2</v>
      </c>
      <c r="P11" s="32">
        <f>IF(Tabell2[[#This Row],[Kvinneandel]]&lt;=G$427,G$427,IF(Tabell2[[#This Row],[Kvinneandel]]&gt;=G$428,G$428,Tabell2[[#This Row],[Kvinneandel]]))</f>
        <v>0.1034097261039687</v>
      </c>
      <c r="Q11" s="32">
        <f>IF(Tabell2[[#This Row],[Eldreandel]]&lt;=H$427,H$427,IF(Tabell2[[#This Row],[Eldreandel]]&gt;=H$428,H$428,Tabell2[[#This Row],[Eldreandel]]))</f>
        <v>0.16806409539780137</v>
      </c>
      <c r="R11" s="32">
        <f>IF(Tabell2[[#This Row],[Sysselsettingsvekst10]]&lt;=I$427,I$427,IF(Tabell2[[#This Row],[Sysselsettingsvekst10]]&gt;=I$428,I$428,Tabell2[[#This Row],[Sysselsettingsvekst10]]))</f>
        <v>7.2563925362819637E-2</v>
      </c>
      <c r="S11" s="32">
        <f>IF(Tabell2[[#This Row],[Yrkesaktivandel]]&lt;=J$427,J$427,IF(Tabell2[[#This Row],[Yrkesaktivandel]]&gt;=J$428,J$428,Tabell2[[#This Row],[Yrkesaktivandel]]))</f>
        <v>0.8430868167202572</v>
      </c>
      <c r="T11" s="67">
        <f>IF(Tabell2[[#This Row],[Inntekt]]&lt;=K$427,K$427,IF(Tabell2[[#This Row],[Inntekt]]&gt;=K$428,K$428,Tabell2[[#This Row],[Inntekt]]))</f>
        <v>393500</v>
      </c>
      <c r="U11" s="10">
        <f>IF(Tabell2[[#This Row],[NIBR11-T]]&lt;=L$430,100,IF(Tabell2[[#This Row],[NIBR11-T]]&gt;=L$429,0,100*(L$429-Tabell2[[#This Row],[NIBR11-T]])/L$432))</f>
        <v>60</v>
      </c>
      <c r="V11" s="10">
        <f>(M$429-Tabell2[[#This Row],[ReisetidOslo-T]])*100/M$432</f>
        <v>99.070006967374511</v>
      </c>
      <c r="W11" s="10">
        <f>100-(N$429-Tabell2[[#This Row],[Beftettotal-T]])*100/N$432</f>
        <v>18.636726489404523</v>
      </c>
      <c r="X11" s="10">
        <f>100-(O$429-Tabell2[[#This Row],[Befvekst10-T]])*100/O$432</f>
        <v>55.663081899223911</v>
      </c>
      <c r="Y11" s="10">
        <f>100-(P$429-Tabell2[[#This Row],[Kvinneandel-T]])*100/P$432</f>
        <v>35.639143213820532</v>
      </c>
      <c r="Z11" s="10">
        <f>(Q$429-Tabell2[[#This Row],[Eldreandel-T]])*100/Q$432</f>
        <v>59.28899327393578</v>
      </c>
      <c r="AA11" s="10">
        <f>100-(R$429-Tabell2[[#This Row],[Sysselsettingsvekst10-T]])*100/R$432</f>
        <v>62.74929743009038</v>
      </c>
      <c r="AB11" s="10">
        <f>100-(S$429-Tabell2[[#This Row],[Yrkesaktivandel-T]])*100/S$432</f>
        <v>35.711961572678746</v>
      </c>
      <c r="AC11" s="10">
        <f>100-(T$429-Tabell2[[#This Row],[Inntekt-T]])*100/T$432</f>
        <v>38.176163501055207</v>
      </c>
      <c r="AD1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53.313438800292943</v>
      </c>
    </row>
    <row r="12" spans="1:30" x14ac:dyDescent="0.25">
      <c r="A12" s="1" t="s">
        <v>10</v>
      </c>
      <c r="B12" s="1">
        <v>10</v>
      </c>
      <c r="C12">
        <f>'Rådata-K'!N11</f>
        <v>1</v>
      </c>
      <c r="D12" s="30">
        <f>'Rådata-K'!M11</f>
        <v>42.15625</v>
      </c>
      <c r="E12" s="32">
        <f>'Rådata-K'!O11</f>
        <v>40.590016193761883</v>
      </c>
      <c r="F12" s="32">
        <f>'Rådata-K'!P11</f>
        <v>0.16511721907841559</v>
      </c>
      <c r="G12" s="32">
        <f>'Rådata-K'!Q11</f>
        <v>0.11517779705117086</v>
      </c>
      <c r="H12" s="32">
        <f>'Rådata-K'!R11</f>
        <v>0.16235906331309627</v>
      </c>
      <c r="I12" s="32">
        <f>'Rådata-K'!S11</f>
        <v>2.3646873357856091E-2</v>
      </c>
      <c r="J12" s="32">
        <f>'Rådata-K'!T11</f>
        <v>0.84154175588865099</v>
      </c>
      <c r="K12" s="67">
        <f>'Rådata-K'!L11</f>
        <v>411700</v>
      </c>
      <c r="L12" s="18">
        <f>Tabell2[[#This Row],[NIBR11]]</f>
        <v>1</v>
      </c>
      <c r="M12" s="32">
        <f>IF(Tabell2[[#This Row],[ReisetidOslo]]&lt;=D$427,D$427,IF(Tabell2[[#This Row],[ReisetidOslo]]&gt;=D$428,D$428,Tabell2[[#This Row],[ReisetidOslo]]))</f>
        <v>54.622656249999999</v>
      </c>
      <c r="N12" s="32">
        <f>IF(Tabell2[[#This Row],[Beftettotal]]&lt;=E$427,E$427,IF(Tabell2[[#This Row],[Beftettotal]]&gt;=E$428,E$428,Tabell2[[#This Row],[Beftettotal]]))</f>
        <v>40.590016193761883</v>
      </c>
      <c r="O12" s="32">
        <f>IF(Tabell2[[#This Row],[Befvekst10]]&lt;=F$427,F$427,IF(Tabell2[[#This Row],[Befvekst10]]&gt;=F$428,F$428,Tabell2[[#This Row],[Befvekst10]]))</f>
        <v>0.16511721907841559</v>
      </c>
      <c r="P12" s="32">
        <f>IF(Tabell2[[#This Row],[Kvinneandel]]&lt;=G$427,G$427,IF(Tabell2[[#This Row],[Kvinneandel]]&gt;=G$428,G$428,Tabell2[[#This Row],[Kvinneandel]]))</f>
        <v>0.11517779705117086</v>
      </c>
      <c r="Q12" s="32">
        <f>IF(Tabell2[[#This Row],[Eldreandel]]&lt;=H$427,H$427,IF(Tabell2[[#This Row],[Eldreandel]]&gt;=H$428,H$428,Tabell2[[#This Row],[Eldreandel]]))</f>
        <v>0.16235906331309627</v>
      </c>
      <c r="R12" s="32">
        <f>IF(Tabell2[[#This Row],[Sysselsettingsvekst10]]&lt;=I$427,I$427,IF(Tabell2[[#This Row],[Sysselsettingsvekst10]]&gt;=I$428,I$428,Tabell2[[#This Row],[Sysselsettingsvekst10]]))</f>
        <v>2.3646873357856091E-2</v>
      </c>
      <c r="S12" s="32">
        <f>IF(Tabell2[[#This Row],[Yrkesaktivandel]]&lt;=J$427,J$427,IF(Tabell2[[#This Row],[Yrkesaktivandel]]&gt;=J$428,J$428,Tabell2[[#This Row],[Yrkesaktivandel]]))</f>
        <v>0.84154175588865099</v>
      </c>
      <c r="T12" s="67">
        <f>IF(Tabell2[[#This Row],[Inntekt]]&lt;=K$427,K$427,IF(Tabell2[[#This Row],[Inntekt]]&gt;=K$428,K$428,Tabell2[[#This Row],[Inntekt]]))</f>
        <v>411700</v>
      </c>
      <c r="U12" s="10">
        <f>IF(Tabell2[[#This Row],[NIBR11-T]]&lt;=L$430,100,IF(Tabell2[[#This Row],[NIBR11-T]]&gt;=L$429,0,100*(L$429-Tabell2[[#This Row],[NIBR11-T]])/L$432))</f>
        <v>100</v>
      </c>
      <c r="V12" s="10">
        <f>(M$429-Tabell2[[#This Row],[ReisetidOslo-T]])*100/M$432</f>
        <v>100</v>
      </c>
      <c r="W12" s="10">
        <f>100-(N$429-Tabell2[[#This Row],[Beftettotal-T]])*100/N$432</f>
        <v>29.32374109353448</v>
      </c>
      <c r="X12" s="10">
        <f>100-(O$429-Tabell2[[#This Row],[Befvekst10-T]])*100/O$432</f>
        <v>94.617010015316822</v>
      </c>
      <c r="Y12" s="10">
        <f>100-(P$429-Tabell2[[#This Row],[Kvinneandel-T]])*100/P$432</f>
        <v>66.722186579946737</v>
      </c>
      <c r="Z12" s="10">
        <f>(Q$429-Tabell2[[#This Row],[Eldreandel-T]])*100/Q$432</f>
        <v>65.442510880148049</v>
      </c>
      <c r="AA12" s="10">
        <f>100-(R$429-Tabell2[[#This Row],[Sysselsettingsvekst10-T]])*100/R$432</f>
        <v>45.635953636130353</v>
      </c>
      <c r="AB12" s="10">
        <f>100-(S$429-Tabell2[[#This Row],[Yrkesaktivandel-T]])*100/S$432</f>
        <v>34.513544625589589</v>
      </c>
      <c r="AC12" s="10">
        <f>100-(T$429-Tabell2[[#This Row],[Inntekt-T]])*100/T$432</f>
        <v>58.391647228701544</v>
      </c>
      <c r="AD1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72.31812553446369</v>
      </c>
    </row>
    <row r="13" spans="1:30" x14ac:dyDescent="0.25">
      <c r="A13" s="1" t="s">
        <v>11</v>
      </c>
      <c r="B13" s="1">
        <v>11</v>
      </c>
      <c r="C13">
        <f>'Rådata-K'!N12</f>
        <v>5</v>
      </c>
      <c r="D13" s="30">
        <f>'Rådata-K'!M12</f>
        <v>46.2109375</v>
      </c>
      <c r="E13" s="32">
        <f>'Rådata-K'!O12</f>
        <v>227.33188720173538</v>
      </c>
      <c r="F13" s="32">
        <f>'Rådata-K'!P12</f>
        <v>9.7075860143764459E-2</v>
      </c>
      <c r="G13" s="32">
        <f>'Rådata-K'!Q12</f>
        <v>0.11889312977099237</v>
      </c>
      <c r="H13" s="32">
        <f>'Rådata-K'!R12</f>
        <v>0.15547073791348601</v>
      </c>
      <c r="I13" s="32">
        <f>'Rådata-K'!S12</f>
        <v>-1.3977353149327687E-2</v>
      </c>
      <c r="J13" s="32">
        <f>'Rådata-K'!T12</f>
        <v>0.77936962750716332</v>
      </c>
      <c r="K13" s="67">
        <f>'Rådata-K'!L12</f>
        <v>391400</v>
      </c>
      <c r="L13" s="18">
        <f>Tabell2[[#This Row],[NIBR11]]</f>
        <v>5</v>
      </c>
      <c r="M13" s="32">
        <f>IF(Tabell2[[#This Row],[ReisetidOslo]]&lt;=D$427,D$427,IF(Tabell2[[#This Row],[ReisetidOslo]]&gt;=D$428,D$428,Tabell2[[#This Row],[ReisetidOslo]]))</f>
        <v>54.622656249999999</v>
      </c>
      <c r="N13" s="32">
        <f>IF(Tabell2[[#This Row],[Beftettotal]]&lt;=E$427,E$427,IF(Tabell2[[#This Row],[Beftettotal]]&gt;=E$428,E$428,Tabell2[[#This Row],[Beftettotal]]))</f>
        <v>135.41854576488009</v>
      </c>
      <c r="O13" s="32">
        <f>IF(Tabell2[[#This Row],[Befvekst10]]&lt;=F$427,F$427,IF(Tabell2[[#This Row],[Befvekst10]]&gt;=F$428,F$428,Tabell2[[#This Row],[Befvekst10]]))</f>
        <v>9.7075860143764459E-2</v>
      </c>
      <c r="P13" s="32">
        <f>IF(Tabell2[[#This Row],[Kvinneandel]]&lt;=G$427,G$427,IF(Tabell2[[#This Row],[Kvinneandel]]&gt;=G$428,G$428,Tabell2[[#This Row],[Kvinneandel]]))</f>
        <v>0.11889312977099237</v>
      </c>
      <c r="Q13" s="32">
        <f>IF(Tabell2[[#This Row],[Eldreandel]]&lt;=H$427,H$427,IF(Tabell2[[#This Row],[Eldreandel]]&gt;=H$428,H$428,Tabell2[[#This Row],[Eldreandel]]))</f>
        <v>0.15547073791348601</v>
      </c>
      <c r="R13" s="32">
        <f>IF(Tabell2[[#This Row],[Sysselsettingsvekst10]]&lt;=I$427,I$427,IF(Tabell2[[#This Row],[Sysselsettingsvekst10]]&gt;=I$428,I$428,Tabell2[[#This Row],[Sysselsettingsvekst10]]))</f>
        <v>-1.3977353149327687E-2</v>
      </c>
      <c r="S13" s="32">
        <f>IF(Tabell2[[#This Row],[Yrkesaktivandel]]&lt;=J$427,J$427,IF(Tabell2[[#This Row],[Yrkesaktivandel]]&gt;=J$428,J$428,Tabell2[[#This Row],[Yrkesaktivandel]]))</f>
        <v>0.7970451171433347</v>
      </c>
      <c r="T13" s="67">
        <f>IF(Tabell2[[#This Row],[Inntekt]]&lt;=K$427,K$427,IF(Tabell2[[#This Row],[Inntekt]]&gt;=K$428,K$428,Tabell2[[#This Row],[Inntekt]]))</f>
        <v>391400</v>
      </c>
      <c r="U13" s="10">
        <f>IF(Tabell2[[#This Row],[NIBR11-T]]&lt;=L$430,100,IF(Tabell2[[#This Row],[NIBR11-T]]&gt;=L$429,0,100*(L$429-Tabell2[[#This Row],[NIBR11-T]])/L$432))</f>
        <v>60</v>
      </c>
      <c r="V13" s="10">
        <f>(M$429-Tabell2[[#This Row],[ReisetidOslo-T]])*100/M$432</f>
        <v>100</v>
      </c>
      <c r="W13" s="10">
        <f>100-(N$429-Tabell2[[#This Row],[Beftettotal-T]])*100/N$432</f>
        <v>100</v>
      </c>
      <c r="X13" s="10">
        <f>100-(O$429-Tabell2[[#This Row],[Befvekst10-T]])*100/O$432</f>
        <v>65.306506880677858</v>
      </c>
      <c r="Y13" s="10">
        <f>100-(P$429-Tabell2[[#This Row],[Kvinneandel-T]])*100/P$432</f>
        <v>76.535506755183746</v>
      </c>
      <c r="Z13" s="10">
        <f>(Q$429-Tabell2[[#This Row],[Eldreandel-T]])*100/Q$432</f>
        <v>72.872343174599024</v>
      </c>
      <c r="AA13" s="10">
        <f>100-(R$429-Tabell2[[#This Row],[Sysselsettingsvekst10-T]])*100/R$432</f>
        <v>32.473338621351317</v>
      </c>
      <c r="AB13" s="10">
        <f>100-(S$429-Tabell2[[#This Row],[Yrkesaktivandel-T]])*100/S$432</f>
        <v>0</v>
      </c>
      <c r="AC13" s="10">
        <f>100-(T$429-Tabell2[[#This Row],[Inntekt-T]])*100/T$432</f>
        <v>35.843607686326777</v>
      </c>
      <c r="AD1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59.363388503392521</v>
      </c>
    </row>
    <row r="14" spans="1:30" x14ac:dyDescent="0.25">
      <c r="A14" s="1" t="s">
        <v>12</v>
      </c>
      <c r="B14" s="1">
        <v>12</v>
      </c>
      <c r="C14">
        <f>'Rådata-K'!N13</f>
        <v>5</v>
      </c>
      <c r="D14" s="30">
        <f>'Rådata-K'!M13</f>
        <v>54.0546875</v>
      </c>
      <c r="E14" s="32">
        <f>'Rådata-K'!O13</f>
        <v>48.348946632190241</v>
      </c>
      <c r="F14" s="32">
        <f>'Rådata-K'!P13</f>
        <v>0.10128415564352622</v>
      </c>
      <c r="G14" s="32">
        <f>'Rådata-K'!Q13</f>
        <v>0.11230931088900578</v>
      </c>
      <c r="H14" s="32">
        <f>'Rådata-K'!R13</f>
        <v>0.16622830089426618</v>
      </c>
      <c r="I14" s="32">
        <f>'Rådata-K'!S13</f>
        <v>-2.5251488400739097E-2</v>
      </c>
      <c r="J14" s="32">
        <f>'Rådata-K'!T13</f>
        <v>0.79442930669088707</v>
      </c>
      <c r="K14" s="67">
        <f>'Rådata-K'!L13</f>
        <v>381500</v>
      </c>
      <c r="L14" s="18">
        <f>Tabell2[[#This Row],[NIBR11]]</f>
        <v>5</v>
      </c>
      <c r="M14" s="32">
        <f>IF(Tabell2[[#This Row],[ReisetidOslo]]&lt;=D$427,D$427,IF(Tabell2[[#This Row],[ReisetidOslo]]&gt;=D$428,D$428,Tabell2[[#This Row],[ReisetidOslo]]))</f>
        <v>54.622656249999999</v>
      </c>
      <c r="N14" s="32">
        <f>IF(Tabell2[[#This Row],[Beftettotal]]&lt;=E$427,E$427,IF(Tabell2[[#This Row],[Beftettotal]]&gt;=E$428,E$428,Tabell2[[#This Row],[Beftettotal]]))</f>
        <v>48.348946632190241</v>
      </c>
      <c r="O14" s="32">
        <f>IF(Tabell2[[#This Row],[Befvekst10]]&lt;=F$427,F$427,IF(Tabell2[[#This Row],[Befvekst10]]&gt;=F$428,F$428,Tabell2[[#This Row],[Befvekst10]]))</f>
        <v>0.10128415564352622</v>
      </c>
      <c r="P14" s="32">
        <f>IF(Tabell2[[#This Row],[Kvinneandel]]&lt;=G$427,G$427,IF(Tabell2[[#This Row],[Kvinneandel]]&gt;=G$428,G$428,Tabell2[[#This Row],[Kvinneandel]]))</f>
        <v>0.11230931088900578</v>
      </c>
      <c r="Q14" s="32">
        <f>IF(Tabell2[[#This Row],[Eldreandel]]&lt;=H$427,H$427,IF(Tabell2[[#This Row],[Eldreandel]]&gt;=H$428,H$428,Tabell2[[#This Row],[Eldreandel]]))</f>
        <v>0.16622830089426618</v>
      </c>
      <c r="R14" s="32">
        <f>IF(Tabell2[[#This Row],[Sysselsettingsvekst10]]&lt;=I$427,I$427,IF(Tabell2[[#This Row],[Sysselsettingsvekst10]]&gt;=I$428,I$428,Tabell2[[#This Row],[Sysselsettingsvekst10]]))</f>
        <v>-2.5251488400739097E-2</v>
      </c>
      <c r="S14" s="32">
        <f>IF(Tabell2[[#This Row],[Yrkesaktivandel]]&lt;=J$427,J$427,IF(Tabell2[[#This Row],[Yrkesaktivandel]]&gt;=J$428,J$428,Tabell2[[#This Row],[Yrkesaktivandel]]))</f>
        <v>0.7970451171433347</v>
      </c>
      <c r="T14" s="67">
        <f>IF(Tabell2[[#This Row],[Inntekt]]&lt;=K$427,K$427,IF(Tabell2[[#This Row],[Inntekt]]&gt;=K$428,K$428,Tabell2[[#This Row],[Inntekt]]))</f>
        <v>381500</v>
      </c>
      <c r="U14" s="10">
        <f>IF(Tabell2[[#This Row],[NIBR11-T]]&lt;=L$430,100,IF(Tabell2[[#This Row],[NIBR11-T]]&gt;=L$429,0,100*(L$429-Tabell2[[#This Row],[NIBR11-T]])/L$432))</f>
        <v>60</v>
      </c>
      <c r="V14" s="10">
        <f>(M$429-Tabell2[[#This Row],[ReisetidOslo-T]])*100/M$432</f>
        <v>100</v>
      </c>
      <c r="W14" s="10">
        <f>100-(N$429-Tabell2[[#This Row],[Beftettotal-T]])*100/N$432</f>
        <v>35.106517426603716</v>
      </c>
      <c r="X14" s="10">
        <f>100-(O$429-Tabell2[[#This Row],[Befvekst10-T]])*100/O$432</f>
        <v>67.119334554441991</v>
      </c>
      <c r="Y14" s="10">
        <f>100-(P$429-Tabell2[[#This Row],[Kvinneandel-T]])*100/P$432</f>
        <v>59.145644921272591</v>
      </c>
      <c r="Z14" s="10">
        <f>(Q$429-Tabell2[[#This Row],[Eldreandel-T]])*100/Q$432</f>
        <v>61.269103750295251</v>
      </c>
      <c r="AA14" s="10">
        <f>100-(R$429-Tabell2[[#This Row],[Sysselsettingsvekst10-T]])*100/R$432</f>
        <v>28.529148515262534</v>
      </c>
      <c r="AB14" s="10">
        <f>100-(S$429-Tabell2[[#This Row],[Yrkesaktivandel-T]])*100/S$432</f>
        <v>0</v>
      </c>
      <c r="AC14" s="10">
        <f>100-(T$429-Tabell2[[#This Row],[Inntekt-T]])*100/T$432</f>
        <v>24.847273131178497</v>
      </c>
      <c r="AD1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50.292898251771263</v>
      </c>
    </row>
    <row r="15" spans="1:30" x14ac:dyDescent="0.25">
      <c r="A15" s="1" t="s">
        <v>13</v>
      </c>
      <c r="B15" s="1">
        <v>13</v>
      </c>
      <c r="C15">
        <f>'Rådata-K'!N14</f>
        <v>5</v>
      </c>
      <c r="D15" s="30">
        <f>'Rådata-K'!M14</f>
        <v>54.8125</v>
      </c>
      <c r="E15" s="32">
        <f>'Rådata-K'!O14</f>
        <v>37.377729473372192</v>
      </c>
      <c r="F15" s="32">
        <f>'Rådata-K'!P14</f>
        <v>0.10840902431878119</v>
      </c>
      <c r="G15" s="32">
        <f>'Rådata-K'!Q14</f>
        <v>0.12159661644197726</v>
      </c>
      <c r="H15" s="32">
        <f>'Rådata-K'!R14</f>
        <v>0.14221517314300819</v>
      </c>
      <c r="I15" s="32">
        <f>'Rådata-K'!S14</f>
        <v>2.5210084033613356E-2</v>
      </c>
      <c r="J15" s="32">
        <f>'Rådata-K'!T14</f>
        <v>0.84953703703703709</v>
      </c>
      <c r="K15" s="67">
        <f>'Rådata-K'!L14</f>
        <v>406700</v>
      </c>
      <c r="L15" s="18">
        <f>Tabell2[[#This Row],[NIBR11]]</f>
        <v>5</v>
      </c>
      <c r="M15" s="32">
        <f>IF(Tabell2[[#This Row],[ReisetidOslo]]&lt;=D$427,D$427,IF(Tabell2[[#This Row],[ReisetidOslo]]&gt;=D$428,D$428,Tabell2[[#This Row],[ReisetidOslo]]))</f>
        <v>54.8125</v>
      </c>
      <c r="N15" s="32">
        <f>IF(Tabell2[[#This Row],[Beftettotal]]&lt;=E$427,E$427,IF(Tabell2[[#This Row],[Beftettotal]]&gt;=E$428,E$428,Tabell2[[#This Row],[Beftettotal]]))</f>
        <v>37.377729473372192</v>
      </c>
      <c r="O15" s="32">
        <f>IF(Tabell2[[#This Row],[Befvekst10]]&lt;=F$427,F$427,IF(Tabell2[[#This Row],[Befvekst10]]&gt;=F$428,F$428,Tabell2[[#This Row],[Befvekst10]]))</f>
        <v>0.10840902431878119</v>
      </c>
      <c r="P15" s="32">
        <f>IF(Tabell2[[#This Row],[Kvinneandel]]&lt;=G$427,G$427,IF(Tabell2[[#This Row],[Kvinneandel]]&gt;=G$428,G$428,Tabell2[[#This Row],[Kvinneandel]]))</f>
        <v>0.12159661644197726</v>
      </c>
      <c r="Q15" s="32">
        <f>IF(Tabell2[[#This Row],[Eldreandel]]&lt;=H$427,H$427,IF(Tabell2[[#This Row],[Eldreandel]]&gt;=H$428,H$428,Tabell2[[#This Row],[Eldreandel]]))</f>
        <v>0.14221517314300819</v>
      </c>
      <c r="R15" s="32">
        <f>IF(Tabell2[[#This Row],[Sysselsettingsvekst10]]&lt;=I$427,I$427,IF(Tabell2[[#This Row],[Sysselsettingsvekst10]]&gt;=I$428,I$428,Tabell2[[#This Row],[Sysselsettingsvekst10]]))</f>
        <v>2.5210084033613356E-2</v>
      </c>
      <c r="S15" s="32">
        <f>IF(Tabell2[[#This Row],[Yrkesaktivandel]]&lt;=J$427,J$427,IF(Tabell2[[#This Row],[Yrkesaktivandel]]&gt;=J$428,J$428,Tabell2[[#This Row],[Yrkesaktivandel]]))</f>
        <v>0.84953703703703709</v>
      </c>
      <c r="T15" s="67">
        <f>IF(Tabell2[[#This Row],[Inntekt]]&lt;=K$427,K$427,IF(Tabell2[[#This Row],[Inntekt]]&gt;=K$428,K$428,Tabell2[[#This Row],[Inntekt]]))</f>
        <v>406700</v>
      </c>
      <c r="U15" s="10">
        <f>IF(Tabell2[[#This Row],[NIBR11-T]]&lt;=L$430,100,IF(Tabell2[[#This Row],[NIBR11-T]]&gt;=L$429,0,100*(L$429-Tabell2[[#This Row],[NIBR11-T]])/L$432))</f>
        <v>60</v>
      </c>
      <c r="V15" s="10">
        <f>(M$429-Tabell2[[#This Row],[ReisetidOslo-T]])*100/M$432</f>
        <v>99.918209081821203</v>
      </c>
      <c r="W15" s="10">
        <f>100-(N$429-Tabell2[[#This Row],[Beftettotal-T]])*100/N$432</f>
        <v>26.929604972697618</v>
      </c>
      <c r="X15" s="10">
        <f>100-(O$429-Tabell2[[#This Row],[Befvekst10-T]])*100/O$432</f>
        <v>70.188548469474497</v>
      </c>
      <c r="Y15" s="10">
        <f>100-(P$429-Tabell2[[#This Row],[Kvinneandel-T]])*100/P$432</f>
        <v>83.676234730990728</v>
      </c>
      <c r="Z15" s="10">
        <f>(Q$429-Tabell2[[#This Row],[Eldreandel-T]])*100/Q$432</f>
        <v>87.169957979273462</v>
      </c>
      <c r="AA15" s="10">
        <f>100-(R$429-Tabell2[[#This Row],[Sysselsettingsvekst10-T]])*100/R$432</f>
        <v>46.182833724364372</v>
      </c>
      <c r="AB15" s="10">
        <f>100-(S$429-Tabell2[[#This Row],[Yrkesaktivandel-T]])*100/S$432</f>
        <v>40.715035355897939</v>
      </c>
      <c r="AC15" s="10">
        <f>100-(T$429-Tabell2[[#This Row],[Inntekt-T]])*100/T$432</f>
        <v>52.837942907919583</v>
      </c>
      <c r="AD1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61.238381933678177</v>
      </c>
    </row>
    <row r="16" spans="1:30" x14ac:dyDescent="0.25">
      <c r="A16" s="1" t="s">
        <v>14</v>
      </c>
      <c r="B16" s="1">
        <v>14</v>
      </c>
      <c r="C16">
        <f>'Rådata-K'!N15</f>
        <v>2</v>
      </c>
      <c r="D16" s="30">
        <f>'Rådata-K'!M15</f>
        <v>63.5625</v>
      </c>
      <c r="E16" s="32">
        <f>'Rådata-K'!O15</f>
        <v>18.801039773642199</v>
      </c>
      <c r="F16" s="32">
        <f>'Rådata-K'!P15</f>
        <v>0.10029617662897139</v>
      </c>
      <c r="G16" s="32">
        <f>'Rådata-K'!Q15</f>
        <v>0.1115869325828949</v>
      </c>
      <c r="H16" s="32">
        <f>'Rådata-K'!R15</f>
        <v>0.16334271381377707</v>
      </c>
      <c r="I16" s="32">
        <f>'Rådata-K'!S15</f>
        <v>-6.2044950933839771E-2</v>
      </c>
      <c r="J16" s="32">
        <f>'Rådata-K'!T15</f>
        <v>0.82403433476394849</v>
      </c>
      <c r="K16" s="67">
        <f>'Rådata-K'!L15</f>
        <v>408600</v>
      </c>
      <c r="L16" s="18">
        <f>Tabell2[[#This Row],[NIBR11]]</f>
        <v>2</v>
      </c>
      <c r="M16" s="32">
        <f>IF(Tabell2[[#This Row],[ReisetidOslo]]&lt;=D$427,D$427,IF(Tabell2[[#This Row],[ReisetidOslo]]&gt;=D$428,D$428,Tabell2[[#This Row],[ReisetidOslo]]))</f>
        <v>63.5625</v>
      </c>
      <c r="N16" s="32">
        <f>IF(Tabell2[[#This Row],[Beftettotal]]&lt;=E$427,E$427,IF(Tabell2[[#This Row],[Beftettotal]]&gt;=E$428,E$428,Tabell2[[#This Row],[Beftettotal]]))</f>
        <v>18.801039773642199</v>
      </c>
      <c r="O16" s="32">
        <f>IF(Tabell2[[#This Row],[Befvekst10]]&lt;=F$427,F$427,IF(Tabell2[[#This Row],[Befvekst10]]&gt;=F$428,F$428,Tabell2[[#This Row],[Befvekst10]]))</f>
        <v>0.10029617662897139</v>
      </c>
      <c r="P16" s="32">
        <f>IF(Tabell2[[#This Row],[Kvinneandel]]&lt;=G$427,G$427,IF(Tabell2[[#This Row],[Kvinneandel]]&gt;=G$428,G$428,Tabell2[[#This Row],[Kvinneandel]]))</f>
        <v>0.1115869325828949</v>
      </c>
      <c r="Q16" s="32">
        <f>IF(Tabell2[[#This Row],[Eldreandel]]&lt;=H$427,H$427,IF(Tabell2[[#This Row],[Eldreandel]]&gt;=H$428,H$428,Tabell2[[#This Row],[Eldreandel]]))</f>
        <v>0.16334271381377707</v>
      </c>
      <c r="R16" s="32">
        <f>IF(Tabell2[[#This Row],[Sysselsettingsvekst10]]&lt;=I$427,I$427,IF(Tabell2[[#This Row],[Sysselsettingsvekst10]]&gt;=I$428,I$428,Tabell2[[#This Row],[Sysselsettingsvekst10]]))</f>
        <v>-6.2044950933839771E-2</v>
      </c>
      <c r="S16" s="32">
        <f>IF(Tabell2[[#This Row],[Yrkesaktivandel]]&lt;=J$427,J$427,IF(Tabell2[[#This Row],[Yrkesaktivandel]]&gt;=J$428,J$428,Tabell2[[#This Row],[Yrkesaktivandel]]))</f>
        <v>0.82403433476394849</v>
      </c>
      <c r="T16" s="67">
        <f>IF(Tabell2[[#This Row],[Inntekt]]&lt;=K$427,K$427,IF(Tabell2[[#This Row],[Inntekt]]&gt;=K$428,K$428,Tabell2[[#This Row],[Inntekt]]))</f>
        <v>408600</v>
      </c>
      <c r="U16" s="10">
        <f>IF(Tabell2[[#This Row],[NIBR11-T]]&lt;=L$430,100,IF(Tabell2[[#This Row],[NIBR11-T]]&gt;=L$429,0,100*(L$429-Tabell2[[#This Row],[NIBR11-T]])/L$432))</f>
        <v>90</v>
      </c>
      <c r="V16" s="10">
        <f>(M$429-Tabell2[[#This Row],[ReisetidOslo-T]])*100/M$432</f>
        <v>96.148421906502548</v>
      </c>
      <c r="W16" s="10">
        <f>100-(N$429-Tabell2[[#This Row],[Beftettotal-T]])*100/N$432</f>
        <v>13.084289256201828</v>
      </c>
      <c r="X16" s="10">
        <f>100-(O$429-Tabell2[[#This Row],[Befvekst10-T]])*100/O$432</f>
        <v>66.693738086992269</v>
      </c>
      <c r="Y16" s="10">
        <f>100-(P$429-Tabell2[[#This Row],[Kvinneandel-T]])*100/P$432</f>
        <v>57.237624794921153</v>
      </c>
      <c r="Z16" s="10">
        <f>(Q$429-Tabell2[[#This Row],[Eldreandel-T]])*100/Q$432</f>
        <v>64.381533380910781</v>
      </c>
      <c r="AA16" s="10">
        <f>100-(R$429-Tabell2[[#This Row],[Sysselsettingsvekst10-T]])*100/R$432</f>
        <v>15.657171405210022</v>
      </c>
      <c r="AB16" s="10">
        <f>100-(S$429-Tabell2[[#This Row],[Yrkesaktivandel-T]])*100/S$432</f>
        <v>20.934020928869629</v>
      </c>
      <c r="AC16" s="10">
        <f>100-(T$429-Tabell2[[#This Row],[Inntekt-T]])*100/T$432</f>
        <v>54.94835054981673</v>
      </c>
      <c r="AD1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57.496930930850127</v>
      </c>
    </row>
    <row r="17" spans="1:30" x14ac:dyDescent="0.25">
      <c r="A17" s="1" t="s">
        <v>15</v>
      </c>
      <c r="B17" s="1">
        <v>15</v>
      </c>
      <c r="C17">
        <f>'Rådata-K'!N16</f>
        <v>2</v>
      </c>
      <c r="D17" s="30">
        <f>'Rådata-K'!M16</f>
        <v>51.5703125</v>
      </c>
      <c r="E17" s="32">
        <f>'Rådata-K'!O16</f>
        <v>62.288456680980048</v>
      </c>
      <c r="F17" s="32">
        <f>'Rådata-K'!P16</f>
        <v>0.11181244364292153</v>
      </c>
      <c r="G17" s="32">
        <f>'Rådata-K'!Q16</f>
        <v>0.10259529602595296</v>
      </c>
      <c r="H17" s="32">
        <f>'Rådata-K'!R16</f>
        <v>0.17869694512030279</v>
      </c>
      <c r="I17" s="32">
        <f>'Rådata-K'!S16</f>
        <v>0.21223628691983132</v>
      </c>
      <c r="J17" s="32">
        <f>'Rådata-K'!T16</f>
        <v>0.83516221374045807</v>
      </c>
      <c r="K17" s="67">
        <f>'Rådata-K'!L16</f>
        <v>421100</v>
      </c>
      <c r="L17" s="18">
        <f>Tabell2[[#This Row],[NIBR11]]</f>
        <v>2</v>
      </c>
      <c r="M17" s="32">
        <f>IF(Tabell2[[#This Row],[ReisetidOslo]]&lt;=D$427,D$427,IF(Tabell2[[#This Row],[ReisetidOslo]]&gt;=D$428,D$428,Tabell2[[#This Row],[ReisetidOslo]]))</f>
        <v>54.622656249999999</v>
      </c>
      <c r="N17" s="32">
        <f>IF(Tabell2[[#This Row],[Beftettotal]]&lt;=E$427,E$427,IF(Tabell2[[#This Row],[Beftettotal]]&gt;=E$428,E$428,Tabell2[[#This Row],[Beftettotal]]))</f>
        <v>62.288456680980048</v>
      </c>
      <c r="O17" s="32">
        <f>IF(Tabell2[[#This Row],[Befvekst10]]&lt;=F$427,F$427,IF(Tabell2[[#This Row],[Befvekst10]]&gt;=F$428,F$428,Tabell2[[#This Row],[Befvekst10]]))</f>
        <v>0.11181244364292153</v>
      </c>
      <c r="P17" s="32">
        <f>IF(Tabell2[[#This Row],[Kvinneandel]]&lt;=G$427,G$427,IF(Tabell2[[#This Row],[Kvinneandel]]&gt;=G$428,G$428,Tabell2[[#This Row],[Kvinneandel]]))</f>
        <v>0.10259529602595296</v>
      </c>
      <c r="Q17" s="32">
        <f>IF(Tabell2[[#This Row],[Eldreandel]]&lt;=H$427,H$427,IF(Tabell2[[#This Row],[Eldreandel]]&gt;=H$428,H$428,Tabell2[[#This Row],[Eldreandel]]))</f>
        <v>0.17869694512030279</v>
      </c>
      <c r="R17" s="32">
        <f>IF(Tabell2[[#This Row],[Sysselsettingsvekst10]]&lt;=I$427,I$427,IF(Tabell2[[#This Row],[Sysselsettingsvekst10]]&gt;=I$428,I$428,Tabell2[[#This Row],[Sysselsettingsvekst10]]))</f>
        <v>0.17904192152607218</v>
      </c>
      <c r="S17" s="32">
        <f>IF(Tabell2[[#This Row],[Yrkesaktivandel]]&lt;=J$427,J$427,IF(Tabell2[[#This Row],[Yrkesaktivandel]]&gt;=J$428,J$428,Tabell2[[#This Row],[Yrkesaktivandel]]))</f>
        <v>0.83516221374045807</v>
      </c>
      <c r="T17" s="67">
        <f>IF(Tabell2[[#This Row],[Inntekt]]&lt;=K$427,K$427,IF(Tabell2[[#This Row],[Inntekt]]&gt;=K$428,K$428,Tabell2[[#This Row],[Inntekt]]))</f>
        <v>421100</v>
      </c>
      <c r="U17" s="10">
        <f>IF(Tabell2[[#This Row],[NIBR11-T]]&lt;=L$430,100,IF(Tabell2[[#This Row],[NIBR11-T]]&gt;=L$429,0,100*(L$429-Tabell2[[#This Row],[NIBR11-T]])/L$432))</f>
        <v>90</v>
      </c>
      <c r="V17" s="10">
        <f>(M$429-Tabell2[[#This Row],[ReisetidOslo-T]])*100/M$432</f>
        <v>100</v>
      </c>
      <c r="W17" s="10">
        <f>100-(N$429-Tabell2[[#This Row],[Beftettotal-T]])*100/N$432</f>
        <v>45.495715969418676</v>
      </c>
      <c r="X17" s="10">
        <f>100-(O$429-Tabell2[[#This Row],[Befvekst10-T]])*100/O$432</f>
        <v>71.654655765545911</v>
      </c>
      <c r="Y17" s="10">
        <f>100-(P$429-Tabell2[[#This Row],[Kvinneandel-T]])*100/P$432</f>
        <v>33.487986448432466</v>
      </c>
      <c r="Z17" s="10">
        <f>(Q$429-Tabell2[[#This Row],[Eldreandel-T]])*100/Q$432</f>
        <v>47.82027110021923</v>
      </c>
      <c r="AA17" s="10">
        <f>100-(R$429-Tabell2[[#This Row],[Sysselsettingsvekst10-T]])*100/R$432</f>
        <v>100</v>
      </c>
      <c r="AB17" s="10">
        <f>100-(S$429-Tabell2[[#This Row],[Yrkesaktivandel-T]])*100/S$432</f>
        <v>29.565291929858446</v>
      </c>
      <c r="AC17" s="10">
        <f>100-(T$429-Tabell2[[#This Row],[Inntekt-T]])*100/T$432</f>
        <v>68.832611351771632</v>
      </c>
      <c r="AD1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70.785705955646648</v>
      </c>
    </row>
    <row r="18" spans="1:30" x14ac:dyDescent="0.25">
      <c r="A18" s="1" t="s">
        <v>16</v>
      </c>
      <c r="B18" s="1">
        <v>16</v>
      </c>
      <c r="C18">
        <f>'Rådata-K'!N17</f>
        <v>4</v>
      </c>
      <c r="D18" s="30">
        <f>'Rådata-K'!M17</f>
        <v>46.7265625</v>
      </c>
      <c r="E18" s="32">
        <f>'Rådata-K'!O17</f>
        <v>212.2237196765499</v>
      </c>
      <c r="F18" s="32">
        <f>'Rådata-K'!P17</f>
        <v>0.13787123347062646</v>
      </c>
      <c r="G18" s="32">
        <f>'Rådata-K'!Q17</f>
        <v>0.10681399631675875</v>
      </c>
      <c r="H18" s="32">
        <f>'Rådata-K'!R17</f>
        <v>0.16199911094176669</v>
      </c>
      <c r="I18" s="32">
        <f>'Rådata-K'!S17</f>
        <v>0.13830211239537671</v>
      </c>
      <c r="J18" s="32">
        <f>'Rådata-K'!T17</f>
        <v>0.81419326532850722</v>
      </c>
      <c r="K18" s="67">
        <f>'Rådata-K'!L17</f>
        <v>429800</v>
      </c>
      <c r="L18" s="18">
        <f>Tabell2[[#This Row],[NIBR11]]</f>
        <v>4</v>
      </c>
      <c r="M18" s="32">
        <f>IF(Tabell2[[#This Row],[ReisetidOslo]]&lt;=D$427,D$427,IF(Tabell2[[#This Row],[ReisetidOslo]]&gt;=D$428,D$428,Tabell2[[#This Row],[ReisetidOslo]]))</f>
        <v>54.622656249999999</v>
      </c>
      <c r="N18" s="32">
        <f>IF(Tabell2[[#This Row],[Beftettotal]]&lt;=E$427,E$427,IF(Tabell2[[#This Row],[Beftettotal]]&gt;=E$428,E$428,Tabell2[[#This Row],[Beftettotal]]))</f>
        <v>135.41854576488009</v>
      </c>
      <c r="O18" s="32">
        <f>IF(Tabell2[[#This Row],[Befvekst10]]&lt;=F$427,F$427,IF(Tabell2[[#This Row],[Befvekst10]]&gt;=F$428,F$428,Tabell2[[#This Row],[Befvekst10]]))</f>
        <v>0.13787123347062646</v>
      </c>
      <c r="P18" s="32">
        <f>IF(Tabell2[[#This Row],[Kvinneandel]]&lt;=G$427,G$427,IF(Tabell2[[#This Row],[Kvinneandel]]&gt;=G$428,G$428,Tabell2[[#This Row],[Kvinneandel]]))</f>
        <v>0.10681399631675875</v>
      </c>
      <c r="Q18" s="32">
        <f>IF(Tabell2[[#This Row],[Eldreandel]]&lt;=H$427,H$427,IF(Tabell2[[#This Row],[Eldreandel]]&gt;=H$428,H$428,Tabell2[[#This Row],[Eldreandel]]))</f>
        <v>0.16199911094176669</v>
      </c>
      <c r="R18" s="32">
        <f>IF(Tabell2[[#This Row],[Sysselsettingsvekst10]]&lt;=I$427,I$427,IF(Tabell2[[#This Row],[Sysselsettingsvekst10]]&gt;=I$428,I$428,Tabell2[[#This Row],[Sysselsettingsvekst10]]))</f>
        <v>0.13830211239537671</v>
      </c>
      <c r="S18" s="32">
        <f>IF(Tabell2[[#This Row],[Yrkesaktivandel]]&lt;=J$427,J$427,IF(Tabell2[[#This Row],[Yrkesaktivandel]]&gt;=J$428,J$428,Tabell2[[#This Row],[Yrkesaktivandel]]))</f>
        <v>0.81419326532850722</v>
      </c>
      <c r="T18" s="67">
        <f>IF(Tabell2[[#This Row],[Inntekt]]&lt;=K$427,K$427,IF(Tabell2[[#This Row],[Inntekt]]&gt;=K$428,K$428,Tabell2[[#This Row],[Inntekt]]))</f>
        <v>429800</v>
      </c>
      <c r="U18" s="10">
        <f>IF(Tabell2[[#This Row],[NIBR11-T]]&lt;=L$430,100,IF(Tabell2[[#This Row],[NIBR11-T]]&gt;=L$429,0,100*(L$429-Tabell2[[#This Row],[NIBR11-T]])/L$432))</f>
        <v>70</v>
      </c>
      <c r="V18" s="10">
        <f>(M$429-Tabell2[[#This Row],[ReisetidOslo-T]])*100/M$432</f>
        <v>100</v>
      </c>
      <c r="W18" s="10">
        <f>100-(N$429-Tabell2[[#This Row],[Beftettotal-T]])*100/N$432</f>
        <v>100</v>
      </c>
      <c r="X18" s="10">
        <f>100-(O$429-Tabell2[[#This Row],[Befvekst10-T]])*100/O$432</f>
        <v>82.880125875033514</v>
      </c>
      <c r="Y18" s="10">
        <f>100-(P$429-Tabell2[[#This Row],[Kvinneandel-T]])*100/P$432</f>
        <v>44.630852996070125</v>
      </c>
      <c r="Z18" s="10">
        <f>(Q$429-Tabell2[[#This Row],[Eldreandel-T]])*100/Q$432</f>
        <v>65.830759924410685</v>
      </c>
      <c r="AA18" s="10">
        <f>100-(R$429-Tabell2[[#This Row],[Sysselsettingsvekst10-T]])*100/R$432</f>
        <v>85.747416674186326</v>
      </c>
      <c r="AB18" s="10">
        <f>100-(S$429-Tabell2[[#This Row],[Yrkesaktivandel-T]])*100/S$432</f>
        <v>13.30085584717277</v>
      </c>
      <c r="AC18" s="10">
        <f>100-(T$429-Tabell2[[#This Row],[Inntekt-T]])*100/T$432</f>
        <v>78.496056869932247</v>
      </c>
      <c r="AD1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73.853538760159893</v>
      </c>
    </row>
    <row r="19" spans="1:30" x14ac:dyDescent="0.25">
      <c r="A19" s="1" t="s">
        <v>17</v>
      </c>
      <c r="B19" s="1">
        <v>17</v>
      </c>
      <c r="C19">
        <f>'Rådata-K'!N18</f>
        <v>4</v>
      </c>
      <c r="D19" s="30">
        <f>'Rådata-K'!M18</f>
        <v>45.6015625</v>
      </c>
      <c r="E19" s="32">
        <f>'Rådata-K'!O18</f>
        <v>20.761986301369866</v>
      </c>
      <c r="F19" s="32">
        <f>'Rådata-K'!P18</f>
        <v>0.28492292870905578</v>
      </c>
      <c r="G19" s="32">
        <f>'Rådata-K'!Q18</f>
        <v>0.12877225866916589</v>
      </c>
      <c r="H19" s="32">
        <f>'Rådata-K'!R18</f>
        <v>0.11977507029053421</v>
      </c>
      <c r="I19" s="32">
        <f>'Rådata-K'!S18</f>
        <v>0.31031220435193951</v>
      </c>
      <c r="J19" s="32">
        <f>'Rådata-K'!T18</f>
        <v>0.8503912363067293</v>
      </c>
      <c r="K19" s="67">
        <f>'Rådata-K'!L18</f>
        <v>427200</v>
      </c>
      <c r="L19" s="18">
        <f>Tabell2[[#This Row],[NIBR11]]</f>
        <v>4</v>
      </c>
      <c r="M19" s="32">
        <f>IF(Tabell2[[#This Row],[ReisetidOslo]]&lt;=D$427,D$427,IF(Tabell2[[#This Row],[ReisetidOslo]]&gt;=D$428,D$428,Tabell2[[#This Row],[ReisetidOslo]]))</f>
        <v>54.622656249999999</v>
      </c>
      <c r="N19" s="32">
        <f>IF(Tabell2[[#This Row],[Beftettotal]]&lt;=E$427,E$427,IF(Tabell2[[#This Row],[Beftettotal]]&gt;=E$428,E$428,Tabell2[[#This Row],[Beftettotal]]))</f>
        <v>20.761986301369866</v>
      </c>
      <c r="O19" s="32">
        <f>IF(Tabell2[[#This Row],[Befvekst10]]&lt;=F$427,F$427,IF(Tabell2[[#This Row],[Befvekst10]]&gt;=F$428,F$428,Tabell2[[#This Row],[Befvekst10]]))</f>
        <v>0.17761328412400704</v>
      </c>
      <c r="P19" s="32">
        <f>IF(Tabell2[[#This Row],[Kvinneandel]]&lt;=G$427,G$427,IF(Tabell2[[#This Row],[Kvinneandel]]&gt;=G$428,G$428,Tabell2[[#This Row],[Kvinneandel]]))</f>
        <v>0.12777681011054584</v>
      </c>
      <c r="Q19" s="32">
        <f>IF(Tabell2[[#This Row],[Eldreandel]]&lt;=H$427,H$427,IF(Tabell2[[#This Row],[Eldreandel]]&gt;=H$428,H$428,Tabell2[[#This Row],[Eldreandel]]))</f>
        <v>0.13032022035982854</v>
      </c>
      <c r="R19" s="32">
        <f>IF(Tabell2[[#This Row],[Sysselsettingsvekst10]]&lt;=I$427,I$427,IF(Tabell2[[#This Row],[Sysselsettingsvekst10]]&gt;=I$428,I$428,Tabell2[[#This Row],[Sysselsettingsvekst10]]))</f>
        <v>0.17904192152607218</v>
      </c>
      <c r="S19" s="32">
        <f>IF(Tabell2[[#This Row],[Yrkesaktivandel]]&lt;=J$427,J$427,IF(Tabell2[[#This Row],[Yrkesaktivandel]]&gt;=J$428,J$428,Tabell2[[#This Row],[Yrkesaktivandel]]))</f>
        <v>0.8503912363067293</v>
      </c>
      <c r="T19" s="67">
        <f>IF(Tabell2[[#This Row],[Inntekt]]&lt;=K$427,K$427,IF(Tabell2[[#This Row],[Inntekt]]&gt;=K$428,K$428,Tabell2[[#This Row],[Inntekt]]))</f>
        <v>427200</v>
      </c>
      <c r="U19" s="10">
        <f>IF(Tabell2[[#This Row],[NIBR11-T]]&lt;=L$430,100,IF(Tabell2[[#This Row],[NIBR11-T]]&gt;=L$429,0,100*(L$429-Tabell2[[#This Row],[NIBR11-T]])/L$432))</f>
        <v>70</v>
      </c>
      <c r="V19" s="10">
        <f>(M$429-Tabell2[[#This Row],[ReisetidOslo-T]])*100/M$432</f>
        <v>100</v>
      </c>
      <c r="W19" s="10">
        <f>100-(N$429-Tabell2[[#This Row],[Beftettotal-T]])*100/N$432</f>
        <v>14.545794196985227</v>
      </c>
      <c r="X19" s="10">
        <f>100-(O$429-Tabell2[[#This Row],[Befvekst10-T]])*100/O$432</f>
        <v>100</v>
      </c>
      <c r="Y19" s="10">
        <f>100-(P$429-Tabell2[[#This Row],[Kvinneandel-T]])*100/P$432</f>
        <v>100</v>
      </c>
      <c r="Z19" s="10">
        <f>(Q$429-Tabell2[[#This Row],[Eldreandel-T]])*100/Q$432</f>
        <v>100</v>
      </c>
      <c r="AA19" s="10">
        <f>100-(R$429-Tabell2[[#This Row],[Sysselsettingsvekst10-T]])*100/R$432</f>
        <v>100</v>
      </c>
      <c r="AB19" s="10">
        <f>100-(S$429-Tabell2[[#This Row],[Yrkesaktivandel-T]])*100/S$432</f>
        <v>41.377589774500436</v>
      </c>
      <c r="AC19" s="10">
        <f>100-(T$429-Tabell2[[#This Row],[Inntekt-T]])*100/T$432</f>
        <v>75.608130623125618</v>
      </c>
      <c r="AD1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77.153151459461128</v>
      </c>
    </row>
    <row r="20" spans="1:30" x14ac:dyDescent="0.25">
      <c r="A20" s="1" t="s">
        <v>18</v>
      </c>
      <c r="B20" s="1">
        <v>18</v>
      </c>
      <c r="C20">
        <f>'Rådata-K'!N19</f>
        <v>1</v>
      </c>
      <c r="D20" s="30">
        <f>'Rådata-K'!M19</f>
        <v>35.4453125</v>
      </c>
      <c r="E20" s="32">
        <f>'Rådata-K'!O19</f>
        <v>39.582591352660451</v>
      </c>
      <c r="F20" s="32">
        <f>'Rådata-K'!P19</f>
        <v>0.21384884228920931</v>
      </c>
      <c r="G20" s="32">
        <f>'Rådata-K'!Q19</f>
        <v>0.12398776318157279</v>
      </c>
      <c r="H20" s="32">
        <f>'Rådata-K'!R19</f>
        <v>0.1302861256073421</v>
      </c>
      <c r="I20" s="32">
        <f>'Rådata-K'!S19</f>
        <v>0.14299153339604898</v>
      </c>
      <c r="J20" s="32">
        <f>'Rådata-K'!T19</f>
        <v>0.83624518803671899</v>
      </c>
      <c r="K20" s="67">
        <f>'Rådata-K'!L19</f>
        <v>405800</v>
      </c>
      <c r="L20" s="18">
        <f>Tabell2[[#This Row],[NIBR11]]</f>
        <v>1</v>
      </c>
      <c r="M20" s="32">
        <f>IF(Tabell2[[#This Row],[ReisetidOslo]]&lt;=D$427,D$427,IF(Tabell2[[#This Row],[ReisetidOslo]]&gt;=D$428,D$428,Tabell2[[#This Row],[ReisetidOslo]]))</f>
        <v>54.622656249999999</v>
      </c>
      <c r="N20" s="32">
        <f>IF(Tabell2[[#This Row],[Beftettotal]]&lt;=E$427,E$427,IF(Tabell2[[#This Row],[Beftettotal]]&gt;=E$428,E$428,Tabell2[[#This Row],[Beftettotal]]))</f>
        <v>39.582591352660451</v>
      </c>
      <c r="O20" s="32">
        <f>IF(Tabell2[[#This Row],[Befvekst10]]&lt;=F$427,F$427,IF(Tabell2[[#This Row],[Befvekst10]]&gt;=F$428,F$428,Tabell2[[#This Row],[Befvekst10]]))</f>
        <v>0.17761328412400704</v>
      </c>
      <c r="P20" s="32">
        <f>IF(Tabell2[[#This Row],[Kvinneandel]]&lt;=G$427,G$427,IF(Tabell2[[#This Row],[Kvinneandel]]&gt;=G$428,G$428,Tabell2[[#This Row],[Kvinneandel]]))</f>
        <v>0.12398776318157279</v>
      </c>
      <c r="Q20" s="32">
        <f>IF(Tabell2[[#This Row],[Eldreandel]]&lt;=H$427,H$427,IF(Tabell2[[#This Row],[Eldreandel]]&gt;=H$428,H$428,Tabell2[[#This Row],[Eldreandel]]))</f>
        <v>0.13032022035982854</v>
      </c>
      <c r="R20" s="32">
        <f>IF(Tabell2[[#This Row],[Sysselsettingsvekst10]]&lt;=I$427,I$427,IF(Tabell2[[#This Row],[Sysselsettingsvekst10]]&gt;=I$428,I$428,Tabell2[[#This Row],[Sysselsettingsvekst10]]))</f>
        <v>0.14299153339604898</v>
      </c>
      <c r="S20" s="32">
        <f>IF(Tabell2[[#This Row],[Yrkesaktivandel]]&lt;=J$427,J$427,IF(Tabell2[[#This Row],[Yrkesaktivandel]]&gt;=J$428,J$428,Tabell2[[#This Row],[Yrkesaktivandel]]))</f>
        <v>0.83624518803671899</v>
      </c>
      <c r="T20" s="67">
        <f>IF(Tabell2[[#This Row],[Inntekt]]&lt;=K$427,K$427,IF(Tabell2[[#This Row],[Inntekt]]&gt;=K$428,K$428,Tabell2[[#This Row],[Inntekt]]))</f>
        <v>405800</v>
      </c>
      <c r="U20" s="10">
        <f>IF(Tabell2[[#This Row],[NIBR11-T]]&lt;=L$430,100,IF(Tabell2[[#This Row],[NIBR11-T]]&gt;=L$429,0,100*(L$429-Tabell2[[#This Row],[NIBR11-T]])/L$432))</f>
        <v>100</v>
      </c>
      <c r="V20" s="10">
        <f>(M$429-Tabell2[[#This Row],[ReisetidOslo-T]])*100/M$432</f>
        <v>100</v>
      </c>
      <c r="W20" s="10">
        <f>100-(N$429-Tabell2[[#This Row],[Beftettotal-T]])*100/N$432</f>
        <v>28.572901454656702</v>
      </c>
      <c r="X20" s="10">
        <f>100-(O$429-Tabell2[[#This Row],[Befvekst10-T]])*100/O$432</f>
        <v>100</v>
      </c>
      <c r="Y20" s="10">
        <f>100-(P$429-Tabell2[[#This Row],[Kvinneandel-T]])*100/P$432</f>
        <v>89.991978248775126</v>
      </c>
      <c r="Z20" s="10">
        <f>(Q$429-Tabell2[[#This Row],[Eldreandel-T]])*100/Q$432</f>
        <v>100</v>
      </c>
      <c r="AA20" s="10">
        <f>100-(R$429-Tabell2[[#This Row],[Sysselsettingsvekst10-T]])*100/R$432</f>
        <v>87.38798311247001</v>
      </c>
      <c r="AB20" s="10">
        <f>100-(S$429-Tabell2[[#This Row],[Yrkesaktivandel-T]])*100/S$432</f>
        <v>30.405294293099914</v>
      </c>
      <c r="AC20" s="10">
        <f>100-(T$429-Tabell2[[#This Row],[Inntekt-T]])*100/T$432</f>
        <v>51.838276130178826</v>
      </c>
      <c r="AD2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79.320044411479302</v>
      </c>
    </row>
    <row r="21" spans="1:30" x14ac:dyDescent="0.25">
      <c r="A21" s="2" t="s">
        <v>19</v>
      </c>
      <c r="B21" s="2">
        <v>19</v>
      </c>
      <c r="C21">
        <f>'Rådata-K'!N20</f>
        <v>1</v>
      </c>
      <c r="D21" s="30">
        <f>'Rådata-K'!M20</f>
        <v>30.8515625</v>
      </c>
      <c r="E21" s="32">
        <f>'Rådata-K'!O20</f>
        <v>128.2973800104501</v>
      </c>
      <c r="F21" s="32">
        <f>'Rådata-K'!P20</f>
        <v>0.28134784553451619</v>
      </c>
      <c r="G21" s="32">
        <f>'Rådata-K'!Q20</f>
        <v>0.11234582266697696</v>
      </c>
      <c r="H21" s="32">
        <f>'Rådata-K'!R20</f>
        <v>0.13747963695601584</v>
      </c>
      <c r="I21" s="32">
        <f>'Rådata-K'!S20</f>
        <v>0.54734693877551011</v>
      </c>
      <c r="J21" s="32">
        <f>'Rådata-K'!T20</f>
        <v>0.86560179061959508</v>
      </c>
      <c r="K21" s="67">
        <f>'Rådata-K'!L20</f>
        <v>471800</v>
      </c>
      <c r="L21" s="18">
        <f>Tabell2[[#This Row],[NIBR11]]</f>
        <v>1</v>
      </c>
      <c r="M21" s="32">
        <f>IF(Tabell2[[#This Row],[ReisetidOslo]]&lt;=D$427,D$427,IF(Tabell2[[#This Row],[ReisetidOslo]]&gt;=D$428,D$428,Tabell2[[#This Row],[ReisetidOslo]]))</f>
        <v>54.622656249999999</v>
      </c>
      <c r="N21" s="32">
        <f>IF(Tabell2[[#This Row],[Beftettotal]]&lt;=E$427,E$427,IF(Tabell2[[#This Row],[Beftettotal]]&gt;=E$428,E$428,Tabell2[[#This Row],[Beftettotal]]))</f>
        <v>128.2973800104501</v>
      </c>
      <c r="O21" s="32">
        <f>IF(Tabell2[[#This Row],[Befvekst10]]&lt;=F$427,F$427,IF(Tabell2[[#This Row],[Befvekst10]]&gt;=F$428,F$428,Tabell2[[#This Row],[Befvekst10]]))</f>
        <v>0.17761328412400704</v>
      </c>
      <c r="P21" s="32">
        <f>IF(Tabell2[[#This Row],[Kvinneandel]]&lt;=G$427,G$427,IF(Tabell2[[#This Row],[Kvinneandel]]&gt;=G$428,G$428,Tabell2[[#This Row],[Kvinneandel]]))</f>
        <v>0.11234582266697696</v>
      </c>
      <c r="Q21" s="32">
        <f>IF(Tabell2[[#This Row],[Eldreandel]]&lt;=H$427,H$427,IF(Tabell2[[#This Row],[Eldreandel]]&gt;=H$428,H$428,Tabell2[[#This Row],[Eldreandel]]))</f>
        <v>0.13747963695601584</v>
      </c>
      <c r="R21" s="32">
        <f>IF(Tabell2[[#This Row],[Sysselsettingsvekst10]]&lt;=I$427,I$427,IF(Tabell2[[#This Row],[Sysselsettingsvekst10]]&gt;=I$428,I$428,Tabell2[[#This Row],[Sysselsettingsvekst10]]))</f>
        <v>0.17904192152607218</v>
      </c>
      <c r="S21" s="32">
        <f>IF(Tabell2[[#This Row],[Yrkesaktivandel]]&lt;=J$427,J$427,IF(Tabell2[[#This Row],[Yrkesaktivandel]]&gt;=J$428,J$428,Tabell2[[#This Row],[Yrkesaktivandel]]))</f>
        <v>0.86560179061959508</v>
      </c>
      <c r="T21" s="67">
        <f>IF(Tabell2[[#This Row],[Inntekt]]&lt;=K$427,K$427,IF(Tabell2[[#This Row],[Inntekt]]&gt;=K$428,K$428,Tabell2[[#This Row],[Inntekt]]))</f>
        <v>449160</v>
      </c>
      <c r="U21" s="10">
        <f>IF(Tabell2[[#This Row],[NIBR11-T]]&lt;=L$430,100,IF(Tabell2[[#This Row],[NIBR11-T]]&gt;=L$429,0,100*(L$429-Tabell2[[#This Row],[NIBR11-T]])/L$432))</f>
        <v>100</v>
      </c>
      <c r="V21" s="10">
        <f>(M$429-Tabell2[[#This Row],[ReisetidOslo-T]])*100/M$432</f>
        <v>100</v>
      </c>
      <c r="W21" s="10">
        <f>100-(N$429-Tabell2[[#This Row],[Beftettotal-T]])*100/N$432</f>
        <v>94.692553424035808</v>
      </c>
      <c r="X21" s="10">
        <f>100-(O$429-Tabell2[[#This Row],[Befvekst10-T]])*100/O$432</f>
        <v>100</v>
      </c>
      <c r="Y21" s="10">
        <f>100-(P$429-Tabell2[[#This Row],[Kvinneandel-T]])*100/P$432</f>
        <v>59.242083597003244</v>
      </c>
      <c r="Z21" s="10">
        <f>(Q$429-Tabell2[[#This Row],[Eldreandel-T]])*100/Q$432</f>
        <v>92.277765414684055</v>
      </c>
      <c r="AA21" s="10">
        <f>100-(R$429-Tabell2[[#This Row],[Sysselsettingsvekst10-T]])*100/R$432</f>
        <v>100</v>
      </c>
      <c r="AB21" s="10">
        <f>100-(S$429-Tabell2[[#This Row],[Yrkesaktivandel-T]])*100/S$432</f>
        <v>53.17556283178682</v>
      </c>
      <c r="AC21" s="10">
        <f>100-(T$429-Tabell2[[#This Row],[Inntekt-T]])*100/T$432</f>
        <v>100</v>
      </c>
      <c r="AD2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92.36280407616664</v>
      </c>
    </row>
    <row r="22" spans="1:30" x14ac:dyDescent="0.25">
      <c r="A22" s="2" t="s">
        <v>20</v>
      </c>
      <c r="B22" s="2">
        <v>20</v>
      </c>
      <c r="C22">
        <f>'Rådata-K'!N21</f>
        <v>1</v>
      </c>
      <c r="D22" s="30">
        <f>'Rådata-K'!M21</f>
        <v>24.23828125</v>
      </c>
      <c r="E22" s="32">
        <f>'Rådata-K'!O21</f>
        <v>185.45278801425724</v>
      </c>
      <c r="F22" s="32">
        <f>'Rådata-K'!P21</f>
        <v>0.12665614563071159</v>
      </c>
      <c r="G22" s="32">
        <f>'Rådata-K'!Q21</f>
        <v>0.11388364062805395</v>
      </c>
      <c r="H22" s="32">
        <f>'Rådata-K'!R21</f>
        <v>0.13551371424848524</v>
      </c>
      <c r="I22" s="32">
        <f>'Rådata-K'!S21</f>
        <v>0.19448959687906364</v>
      </c>
      <c r="J22" s="32">
        <f>'Rådata-K'!T21</f>
        <v>0.86433471285220254</v>
      </c>
      <c r="K22" s="67">
        <f>'Rådata-K'!L21</f>
        <v>473100</v>
      </c>
      <c r="L22" s="18">
        <f>Tabell2[[#This Row],[NIBR11]]</f>
        <v>1</v>
      </c>
      <c r="M22" s="32">
        <f>IF(Tabell2[[#This Row],[ReisetidOslo]]&lt;=D$427,D$427,IF(Tabell2[[#This Row],[ReisetidOslo]]&gt;=D$428,D$428,Tabell2[[#This Row],[ReisetidOslo]]))</f>
        <v>54.622656249999999</v>
      </c>
      <c r="N22" s="32">
        <f>IF(Tabell2[[#This Row],[Beftettotal]]&lt;=E$427,E$427,IF(Tabell2[[#This Row],[Beftettotal]]&gt;=E$428,E$428,Tabell2[[#This Row],[Beftettotal]]))</f>
        <v>135.41854576488009</v>
      </c>
      <c r="O22" s="32">
        <f>IF(Tabell2[[#This Row],[Befvekst10]]&lt;=F$427,F$427,IF(Tabell2[[#This Row],[Befvekst10]]&gt;=F$428,F$428,Tabell2[[#This Row],[Befvekst10]]))</f>
        <v>0.12665614563071159</v>
      </c>
      <c r="P22" s="32">
        <f>IF(Tabell2[[#This Row],[Kvinneandel]]&lt;=G$427,G$427,IF(Tabell2[[#This Row],[Kvinneandel]]&gt;=G$428,G$428,Tabell2[[#This Row],[Kvinneandel]]))</f>
        <v>0.11388364062805395</v>
      </c>
      <c r="Q22" s="32">
        <f>IF(Tabell2[[#This Row],[Eldreandel]]&lt;=H$427,H$427,IF(Tabell2[[#This Row],[Eldreandel]]&gt;=H$428,H$428,Tabell2[[#This Row],[Eldreandel]]))</f>
        <v>0.13551371424848524</v>
      </c>
      <c r="R22" s="32">
        <f>IF(Tabell2[[#This Row],[Sysselsettingsvekst10]]&lt;=I$427,I$427,IF(Tabell2[[#This Row],[Sysselsettingsvekst10]]&gt;=I$428,I$428,Tabell2[[#This Row],[Sysselsettingsvekst10]]))</f>
        <v>0.17904192152607218</v>
      </c>
      <c r="S22" s="32">
        <f>IF(Tabell2[[#This Row],[Yrkesaktivandel]]&lt;=J$427,J$427,IF(Tabell2[[#This Row],[Yrkesaktivandel]]&gt;=J$428,J$428,Tabell2[[#This Row],[Yrkesaktivandel]]))</f>
        <v>0.86433471285220254</v>
      </c>
      <c r="T22" s="67">
        <f>IF(Tabell2[[#This Row],[Inntekt]]&lt;=K$427,K$427,IF(Tabell2[[#This Row],[Inntekt]]&gt;=K$428,K$428,Tabell2[[#This Row],[Inntekt]]))</f>
        <v>449160</v>
      </c>
      <c r="U22" s="10">
        <f>IF(Tabell2[[#This Row],[NIBR11-T]]&lt;=L$430,100,IF(Tabell2[[#This Row],[NIBR11-T]]&gt;=L$429,0,100*(L$429-Tabell2[[#This Row],[NIBR11-T]])/L$432))</f>
        <v>100</v>
      </c>
      <c r="V22" s="10">
        <f>(M$429-Tabell2[[#This Row],[ReisetidOslo-T]])*100/M$432</f>
        <v>100</v>
      </c>
      <c r="W22" s="10">
        <f>100-(N$429-Tabell2[[#This Row],[Beftettotal-T]])*100/N$432</f>
        <v>100</v>
      </c>
      <c r="X22" s="10">
        <f>100-(O$429-Tabell2[[#This Row],[Befvekst10-T]])*100/O$432</f>
        <v>78.048948596478738</v>
      </c>
      <c r="Y22" s="10">
        <f>100-(P$429-Tabell2[[#This Row],[Kvinneandel-T]])*100/P$432</f>
        <v>63.303927087565164</v>
      </c>
      <c r="Z22" s="10">
        <f>(Q$429-Tabell2[[#This Row],[Eldreandel-T]])*100/Q$432</f>
        <v>94.398233768521081</v>
      </c>
      <c r="AA22" s="10">
        <f>100-(R$429-Tabell2[[#This Row],[Sysselsettingsvekst10-T]])*100/R$432</f>
        <v>100</v>
      </c>
      <c r="AB22" s="10">
        <f>100-(S$429-Tabell2[[#This Row],[Yrkesaktivandel-T]])*100/S$432</f>
        <v>52.192761741589912</v>
      </c>
      <c r="AC22" s="10">
        <f>100-(T$429-Tabell2[[#This Row],[Inntekt-T]])*100/T$432</f>
        <v>100</v>
      </c>
      <c r="AD2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88.714173936259058</v>
      </c>
    </row>
    <row r="23" spans="1:30" x14ac:dyDescent="0.25">
      <c r="A23" s="2" t="s">
        <v>21</v>
      </c>
      <c r="B23" s="2">
        <v>21</v>
      </c>
      <c r="C23">
        <f>'Rådata-K'!N22</f>
        <v>1</v>
      </c>
      <c r="D23" s="30">
        <f>'Rådata-K'!M22</f>
        <v>30.47265625</v>
      </c>
      <c r="E23" s="32">
        <f>'Rådata-K'!O22</f>
        <v>187.08050436469449</v>
      </c>
      <c r="F23" s="32">
        <f>'Rådata-K'!P22</f>
        <v>0.29684663484165941</v>
      </c>
      <c r="G23" s="32">
        <f>'Rådata-K'!Q22</f>
        <v>0.1439755288262132</v>
      </c>
      <c r="H23" s="32">
        <f>'Rådata-K'!R22</f>
        <v>0.125</v>
      </c>
      <c r="I23" s="32">
        <f>'Rådata-K'!S22</f>
        <v>0.25714285714285712</v>
      </c>
      <c r="J23" s="32">
        <f>'Rådata-K'!T22</f>
        <v>0.82161747142125918</v>
      </c>
      <c r="K23" s="67">
        <f>'Rådata-K'!L22</f>
        <v>427400</v>
      </c>
      <c r="L23" s="18">
        <f>Tabell2[[#This Row],[NIBR11]]</f>
        <v>1</v>
      </c>
      <c r="M23" s="32">
        <f>IF(Tabell2[[#This Row],[ReisetidOslo]]&lt;=D$427,D$427,IF(Tabell2[[#This Row],[ReisetidOslo]]&gt;=D$428,D$428,Tabell2[[#This Row],[ReisetidOslo]]))</f>
        <v>54.622656249999999</v>
      </c>
      <c r="N23" s="32">
        <f>IF(Tabell2[[#This Row],[Beftettotal]]&lt;=E$427,E$427,IF(Tabell2[[#This Row],[Beftettotal]]&gt;=E$428,E$428,Tabell2[[#This Row],[Beftettotal]]))</f>
        <v>135.41854576488009</v>
      </c>
      <c r="O23" s="32">
        <f>IF(Tabell2[[#This Row],[Befvekst10]]&lt;=F$427,F$427,IF(Tabell2[[#This Row],[Befvekst10]]&gt;=F$428,F$428,Tabell2[[#This Row],[Befvekst10]]))</f>
        <v>0.17761328412400704</v>
      </c>
      <c r="P23" s="32">
        <f>IF(Tabell2[[#This Row],[Kvinneandel]]&lt;=G$427,G$427,IF(Tabell2[[#This Row],[Kvinneandel]]&gt;=G$428,G$428,Tabell2[[#This Row],[Kvinneandel]]))</f>
        <v>0.12777681011054584</v>
      </c>
      <c r="Q23" s="32">
        <f>IF(Tabell2[[#This Row],[Eldreandel]]&lt;=H$427,H$427,IF(Tabell2[[#This Row],[Eldreandel]]&gt;=H$428,H$428,Tabell2[[#This Row],[Eldreandel]]))</f>
        <v>0.13032022035982854</v>
      </c>
      <c r="R23" s="32">
        <f>IF(Tabell2[[#This Row],[Sysselsettingsvekst10]]&lt;=I$427,I$427,IF(Tabell2[[#This Row],[Sysselsettingsvekst10]]&gt;=I$428,I$428,Tabell2[[#This Row],[Sysselsettingsvekst10]]))</f>
        <v>0.17904192152607218</v>
      </c>
      <c r="S23" s="32">
        <f>IF(Tabell2[[#This Row],[Yrkesaktivandel]]&lt;=J$427,J$427,IF(Tabell2[[#This Row],[Yrkesaktivandel]]&gt;=J$428,J$428,Tabell2[[#This Row],[Yrkesaktivandel]]))</f>
        <v>0.82161747142125918</v>
      </c>
      <c r="T23" s="67">
        <f>IF(Tabell2[[#This Row],[Inntekt]]&lt;=K$427,K$427,IF(Tabell2[[#This Row],[Inntekt]]&gt;=K$428,K$428,Tabell2[[#This Row],[Inntekt]]))</f>
        <v>427400</v>
      </c>
      <c r="U23" s="10">
        <f>IF(Tabell2[[#This Row],[NIBR11-T]]&lt;=L$430,100,IF(Tabell2[[#This Row],[NIBR11-T]]&gt;=L$429,0,100*(L$429-Tabell2[[#This Row],[NIBR11-T]])/L$432))</f>
        <v>100</v>
      </c>
      <c r="V23" s="10">
        <f>(M$429-Tabell2[[#This Row],[ReisetidOslo-T]])*100/M$432</f>
        <v>100</v>
      </c>
      <c r="W23" s="10">
        <f>100-(N$429-Tabell2[[#This Row],[Beftettotal-T]])*100/N$432</f>
        <v>100</v>
      </c>
      <c r="X23" s="10">
        <f>100-(O$429-Tabell2[[#This Row],[Befvekst10-T]])*100/O$432</f>
        <v>100</v>
      </c>
      <c r="Y23" s="10">
        <f>100-(P$429-Tabell2[[#This Row],[Kvinneandel-T]])*100/P$432</f>
        <v>100</v>
      </c>
      <c r="Z23" s="10">
        <f>(Q$429-Tabell2[[#This Row],[Eldreandel-T]])*100/Q$432</f>
        <v>100</v>
      </c>
      <c r="AA23" s="10">
        <f>100-(R$429-Tabell2[[#This Row],[Sysselsettingsvekst10-T]])*100/R$432</f>
        <v>100</v>
      </c>
      <c r="AB23" s="10">
        <f>100-(S$429-Tabell2[[#This Row],[Yrkesaktivandel-T]])*100/S$432</f>
        <v>19.05939571708015</v>
      </c>
      <c r="AC23" s="10">
        <f>100-(T$429-Tabell2[[#This Row],[Inntekt-T]])*100/T$432</f>
        <v>75.8302787959569</v>
      </c>
      <c r="AD2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89.488967451303708</v>
      </c>
    </row>
    <row r="24" spans="1:30" x14ac:dyDescent="0.25">
      <c r="A24" s="2" t="s">
        <v>22</v>
      </c>
      <c r="B24" s="2">
        <v>22</v>
      </c>
      <c r="C24">
        <f>'Rådata-K'!N23</f>
        <v>1</v>
      </c>
      <c r="D24" s="30">
        <f>'Rådata-K'!M23</f>
        <v>32.9765625</v>
      </c>
      <c r="E24" s="32">
        <f>'Rådata-K'!O23</f>
        <v>183.69894982497081</v>
      </c>
      <c r="F24" s="32">
        <f>'Rådata-K'!P23</f>
        <v>0.13340532757379409</v>
      </c>
      <c r="G24" s="32">
        <f>'Rådata-K'!Q23</f>
        <v>9.8265895953757232E-2</v>
      </c>
      <c r="H24" s="32">
        <f>'Rådata-K'!R23</f>
        <v>0.16801117957187323</v>
      </c>
      <c r="I24" s="32">
        <f>'Rådata-K'!S23</f>
        <v>0.16403061224489801</v>
      </c>
      <c r="J24" s="32">
        <f>'Rådata-K'!T23</f>
        <v>0.86712434946296091</v>
      </c>
      <c r="K24" s="67">
        <f>'Rådata-K'!L23</f>
        <v>511900</v>
      </c>
      <c r="L24" s="18">
        <f>Tabell2[[#This Row],[NIBR11]]</f>
        <v>1</v>
      </c>
      <c r="M24" s="32">
        <f>IF(Tabell2[[#This Row],[ReisetidOslo]]&lt;=D$427,D$427,IF(Tabell2[[#This Row],[ReisetidOslo]]&gt;=D$428,D$428,Tabell2[[#This Row],[ReisetidOslo]]))</f>
        <v>54.622656249999999</v>
      </c>
      <c r="N24" s="32">
        <f>IF(Tabell2[[#This Row],[Beftettotal]]&lt;=E$427,E$427,IF(Tabell2[[#This Row],[Beftettotal]]&gt;=E$428,E$428,Tabell2[[#This Row],[Beftettotal]]))</f>
        <v>135.41854576488009</v>
      </c>
      <c r="O24" s="32">
        <f>IF(Tabell2[[#This Row],[Befvekst10]]&lt;=F$427,F$427,IF(Tabell2[[#This Row],[Befvekst10]]&gt;=F$428,F$428,Tabell2[[#This Row],[Befvekst10]]))</f>
        <v>0.13340532757379409</v>
      </c>
      <c r="P24" s="32">
        <f>IF(Tabell2[[#This Row],[Kvinneandel]]&lt;=G$427,G$427,IF(Tabell2[[#This Row],[Kvinneandel]]&gt;=G$428,G$428,Tabell2[[#This Row],[Kvinneandel]]))</f>
        <v>9.8265895953757232E-2</v>
      </c>
      <c r="Q24" s="32">
        <f>IF(Tabell2[[#This Row],[Eldreandel]]&lt;=H$427,H$427,IF(Tabell2[[#This Row],[Eldreandel]]&gt;=H$428,H$428,Tabell2[[#This Row],[Eldreandel]]))</f>
        <v>0.16801117957187323</v>
      </c>
      <c r="R24" s="32">
        <f>IF(Tabell2[[#This Row],[Sysselsettingsvekst10]]&lt;=I$427,I$427,IF(Tabell2[[#This Row],[Sysselsettingsvekst10]]&gt;=I$428,I$428,Tabell2[[#This Row],[Sysselsettingsvekst10]]))</f>
        <v>0.16403061224489801</v>
      </c>
      <c r="S24" s="32">
        <f>IF(Tabell2[[#This Row],[Yrkesaktivandel]]&lt;=J$427,J$427,IF(Tabell2[[#This Row],[Yrkesaktivandel]]&gt;=J$428,J$428,Tabell2[[#This Row],[Yrkesaktivandel]]))</f>
        <v>0.86712434946296091</v>
      </c>
      <c r="T24" s="67">
        <f>IF(Tabell2[[#This Row],[Inntekt]]&lt;=K$427,K$427,IF(Tabell2[[#This Row],[Inntekt]]&gt;=K$428,K$428,Tabell2[[#This Row],[Inntekt]]))</f>
        <v>449160</v>
      </c>
      <c r="U24" s="10">
        <f>IF(Tabell2[[#This Row],[NIBR11-T]]&lt;=L$430,100,IF(Tabell2[[#This Row],[NIBR11-T]]&gt;=L$429,0,100*(L$429-Tabell2[[#This Row],[NIBR11-T]])/L$432))</f>
        <v>100</v>
      </c>
      <c r="V24" s="10">
        <f>(M$429-Tabell2[[#This Row],[ReisetidOslo-T]])*100/M$432</f>
        <v>100</v>
      </c>
      <c r="W24" s="10">
        <f>100-(N$429-Tabell2[[#This Row],[Beftettotal-T]])*100/N$432</f>
        <v>100</v>
      </c>
      <c r="X24" s="10">
        <f>100-(O$429-Tabell2[[#This Row],[Befvekst10-T]])*100/O$432</f>
        <v>80.956326132676423</v>
      </c>
      <c r="Y24" s="10">
        <f>100-(P$429-Tabell2[[#This Row],[Kvinneandel-T]])*100/P$432</f>
        <v>22.052728214765551</v>
      </c>
      <c r="Z24" s="10">
        <f>(Q$429-Tabell2[[#This Row],[Eldreandel-T]])*100/Q$432</f>
        <v>59.346068933048912</v>
      </c>
      <c r="AA24" s="10">
        <f>100-(R$429-Tabell2[[#This Row],[Sysselsettingsvekst10-T]])*100/R$432</f>
        <v>94.748381474416533</v>
      </c>
      <c r="AB24" s="10">
        <f>100-(S$429-Tabell2[[#This Row],[Yrkesaktivandel-T]])*100/S$432</f>
        <v>54.356526249863514</v>
      </c>
      <c r="AC24" s="10">
        <f>100-(T$429-Tabell2[[#This Row],[Inntekt-T]])*100/T$432</f>
        <v>100</v>
      </c>
      <c r="AD2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85.171695856354006</v>
      </c>
    </row>
    <row r="25" spans="1:30" x14ac:dyDescent="0.25">
      <c r="A25" s="2" t="s">
        <v>23</v>
      </c>
      <c r="B25" s="2">
        <v>23</v>
      </c>
      <c r="C25">
        <f>'Rådata-K'!N24</f>
        <v>1</v>
      </c>
      <c r="D25" s="30">
        <f>'Rådata-K'!M24</f>
        <v>43.5234375</v>
      </c>
      <c r="E25" s="32">
        <f>'Rådata-K'!O24</f>
        <v>307.01269118125612</v>
      </c>
      <c r="F25" s="32">
        <f>'Rådata-K'!P24</f>
        <v>0.12375677446250966</v>
      </c>
      <c r="G25" s="32">
        <f>'Rådata-K'!Q24</f>
        <v>0.10890879219884467</v>
      </c>
      <c r="H25" s="32">
        <f>'Rådata-K'!R24</f>
        <v>0.13079654459695797</v>
      </c>
      <c r="I25" s="32">
        <f>'Rådata-K'!S24</f>
        <v>8.9468779123951458E-2</v>
      </c>
      <c r="J25" s="32">
        <f>'Rådata-K'!T24</f>
        <v>0.85178117048346058</v>
      </c>
      <c r="K25" s="67">
        <f>'Rådata-K'!L24</f>
        <v>467500</v>
      </c>
      <c r="L25" s="18">
        <f>Tabell2[[#This Row],[NIBR11]]</f>
        <v>1</v>
      </c>
      <c r="M25" s="32">
        <f>IF(Tabell2[[#This Row],[ReisetidOslo]]&lt;=D$427,D$427,IF(Tabell2[[#This Row],[ReisetidOslo]]&gt;=D$428,D$428,Tabell2[[#This Row],[ReisetidOslo]]))</f>
        <v>54.622656249999999</v>
      </c>
      <c r="N25" s="32">
        <f>IF(Tabell2[[#This Row],[Beftettotal]]&lt;=E$427,E$427,IF(Tabell2[[#This Row],[Beftettotal]]&gt;=E$428,E$428,Tabell2[[#This Row],[Beftettotal]]))</f>
        <v>135.41854576488009</v>
      </c>
      <c r="O25" s="32">
        <f>IF(Tabell2[[#This Row],[Befvekst10]]&lt;=F$427,F$427,IF(Tabell2[[#This Row],[Befvekst10]]&gt;=F$428,F$428,Tabell2[[#This Row],[Befvekst10]]))</f>
        <v>0.12375677446250966</v>
      </c>
      <c r="P25" s="32">
        <f>IF(Tabell2[[#This Row],[Kvinneandel]]&lt;=G$427,G$427,IF(Tabell2[[#This Row],[Kvinneandel]]&gt;=G$428,G$428,Tabell2[[#This Row],[Kvinneandel]]))</f>
        <v>0.10890879219884467</v>
      </c>
      <c r="Q25" s="32">
        <f>IF(Tabell2[[#This Row],[Eldreandel]]&lt;=H$427,H$427,IF(Tabell2[[#This Row],[Eldreandel]]&gt;=H$428,H$428,Tabell2[[#This Row],[Eldreandel]]))</f>
        <v>0.13079654459695797</v>
      </c>
      <c r="R25" s="32">
        <f>IF(Tabell2[[#This Row],[Sysselsettingsvekst10]]&lt;=I$427,I$427,IF(Tabell2[[#This Row],[Sysselsettingsvekst10]]&gt;=I$428,I$428,Tabell2[[#This Row],[Sysselsettingsvekst10]]))</f>
        <v>8.9468779123951458E-2</v>
      </c>
      <c r="S25" s="32">
        <f>IF(Tabell2[[#This Row],[Yrkesaktivandel]]&lt;=J$427,J$427,IF(Tabell2[[#This Row],[Yrkesaktivandel]]&gt;=J$428,J$428,Tabell2[[#This Row],[Yrkesaktivandel]]))</f>
        <v>0.85178117048346058</v>
      </c>
      <c r="T25" s="67">
        <f>IF(Tabell2[[#This Row],[Inntekt]]&lt;=K$427,K$427,IF(Tabell2[[#This Row],[Inntekt]]&gt;=K$428,K$428,Tabell2[[#This Row],[Inntekt]]))</f>
        <v>449160</v>
      </c>
      <c r="U25" s="10">
        <f>IF(Tabell2[[#This Row],[NIBR11-T]]&lt;=L$430,100,IF(Tabell2[[#This Row],[NIBR11-T]]&gt;=L$429,0,100*(L$429-Tabell2[[#This Row],[NIBR11-T]])/L$432))</f>
        <v>100</v>
      </c>
      <c r="V25" s="10">
        <f>(M$429-Tabell2[[#This Row],[ReisetidOslo-T]])*100/M$432</f>
        <v>100</v>
      </c>
      <c r="W25" s="10">
        <f>100-(N$429-Tabell2[[#This Row],[Beftettotal-T]])*100/N$432</f>
        <v>100</v>
      </c>
      <c r="X25" s="10">
        <f>100-(O$429-Tabell2[[#This Row],[Befvekst10-T]])*100/O$432</f>
        <v>76.799972546548815</v>
      </c>
      <c r="Y25" s="10">
        <f>100-(P$429-Tabell2[[#This Row],[Kvinneandel-T]])*100/P$432</f>
        <v>50.163844047720737</v>
      </c>
      <c r="Z25" s="10">
        <f>(Q$429-Tabell2[[#This Row],[Eldreandel-T]])*100/Q$432</f>
        <v>99.486230833425182</v>
      </c>
      <c r="AA25" s="10">
        <f>100-(R$429-Tabell2[[#This Row],[Sysselsettingsvekst10-T]])*100/R$432</f>
        <v>68.663361388227358</v>
      </c>
      <c r="AB25" s="10">
        <f>100-(S$429-Tabell2[[#This Row],[Yrkesaktivandel-T]])*100/S$432</f>
        <v>42.455683684240903</v>
      </c>
      <c r="AC25" s="10">
        <f>100-(T$429-Tabell2[[#This Row],[Inntekt-T]])*100/T$432</f>
        <v>100</v>
      </c>
      <c r="AD2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83.954402760613874</v>
      </c>
    </row>
    <row r="26" spans="1:30" x14ac:dyDescent="0.25">
      <c r="A26" s="2" t="s">
        <v>24</v>
      </c>
      <c r="B26" s="2">
        <v>24</v>
      </c>
      <c r="C26">
        <f>'Rådata-K'!N25</f>
        <v>1</v>
      </c>
      <c r="D26" s="30">
        <f>'Rådata-K'!M25</f>
        <v>15.6796875</v>
      </c>
      <c r="E26" s="32">
        <f>'Rådata-K'!O25</f>
        <v>728.61771058315321</v>
      </c>
      <c r="F26" s="32">
        <f>'Rådata-K'!P25</f>
        <v>0.124828074855166</v>
      </c>
      <c r="G26" s="32">
        <f>'Rådata-K'!Q25</f>
        <v>0.10615829257447755</v>
      </c>
      <c r="H26" s="32">
        <f>'Rådata-K'!R25</f>
        <v>0.15332740477249149</v>
      </c>
      <c r="I26" s="32">
        <f>'Rådata-K'!S25</f>
        <v>8.9615772375938096E-2</v>
      </c>
      <c r="J26" s="32">
        <f>'Rådata-K'!T25</f>
        <v>0.87048846229702193</v>
      </c>
      <c r="K26" s="67">
        <f>'Rådata-K'!L25</f>
        <v>528900</v>
      </c>
      <c r="L26" s="18">
        <f>Tabell2[[#This Row],[NIBR11]]</f>
        <v>1</v>
      </c>
      <c r="M26" s="32">
        <f>IF(Tabell2[[#This Row],[ReisetidOslo]]&lt;=D$427,D$427,IF(Tabell2[[#This Row],[ReisetidOslo]]&gt;=D$428,D$428,Tabell2[[#This Row],[ReisetidOslo]]))</f>
        <v>54.622656249999999</v>
      </c>
      <c r="N26" s="32">
        <f>IF(Tabell2[[#This Row],[Beftettotal]]&lt;=E$427,E$427,IF(Tabell2[[#This Row],[Beftettotal]]&gt;=E$428,E$428,Tabell2[[#This Row],[Beftettotal]]))</f>
        <v>135.41854576488009</v>
      </c>
      <c r="O26" s="32">
        <f>IF(Tabell2[[#This Row],[Befvekst10]]&lt;=F$427,F$427,IF(Tabell2[[#This Row],[Befvekst10]]&gt;=F$428,F$428,Tabell2[[#This Row],[Befvekst10]]))</f>
        <v>0.124828074855166</v>
      </c>
      <c r="P26" s="32">
        <f>IF(Tabell2[[#This Row],[Kvinneandel]]&lt;=G$427,G$427,IF(Tabell2[[#This Row],[Kvinneandel]]&gt;=G$428,G$428,Tabell2[[#This Row],[Kvinneandel]]))</f>
        <v>0.10615829257447755</v>
      </c>
      <c r="Q26" s="32">
        <f>IF(Tabell2[[#This Row],[Eldreandel]]&lt;=H$427,H$427,IF(Tabell2[[#This Row],[Eldreandel]]&gt;=H$428,H$428,Tabell2[[#This Row],[Eldreandel]]))</f>
        <v>0.15332740477249149</v>
      </c>
      <c r="R26" s="32">
        <f>IF(Tabell2[[#This Row],[Sysselsettingsvekst10]]&lt;=I$427,I$427,IF(Tabell2[[#This Row],[Sysselsettingsvekst10]]&gt;=I$428,I$428,Tabell2[[#This Row],[Sysselsettingsvekst10]]))</f>
        <v>8.9615772375938096E-2</v>
      </c>
      <c r="S26" s="32">
        <f>IF(Tabell2[[#This Row],[Yrkesaktivandel]]&lt;=J$427,J$427,IF(Tabell2[[#This Row],[Yrkesaktivandel]]&gt;=J$428,J$428,Tabell2[[#This Row],[Yrkesaktivandel]]))</f>
        <v>0.87048846229702193</v>
      </c>
      <c r="T26" s="67">
        <f>IF(Tabell2[[#This Row],[Inntekt]]&lt;=K$427,K$427,IF(Tabell2[[#This Row],[Inntekt]]&gt;=K$428,K$428,Tabell2[[#This Row],[Inntekt]]))</f>
        <v>449160</v>
      </c>
      <c r="U26" s="10">
        <f>IF(Tabell2[[#This Row],[NIBR11-T]]&lt;=L$430,100,IF(Tabell2[[#This Row],[NIBR11-T]]&gt;=L$429,0,100*(L$429-Tabell2[[#This Row],[NIBR11-T]])/L$432))</f>
        <v>100</v>
      </c>
      <c r="V26" s="10">
        <f>(M$429-Tabell2[[#This Row],[ReisetidOslo-T]])*100/M$432</f>
        <v>100</v>
      </c>
      <c r="W26" s="10">
        <f>100-(N$429-Tabell2[[#This Row],[Beftettotal-T]])*100/N$432</f>
        <v>100</v>
      </c>
      <c r="X26" s="10">
        <f>100-(O$429-Tabell2[[#This Row],[Befvekst10-T]])*100/O$432</f>
        <v>77.261461764411905</v>
      </c>
      <c r="Y26" s="10">
        <f>100-(P$429-Tabell2[[#This Row],[Kvinneandel-T]])*100/P$432</f>
        <v>42.898940608041613</v>
      </c>
      <c r="Z26" s="10">
        <f>(Q$429-Tabell2[[#This Row],[Eldreandel-T]])*100/Q$432</f>
        <v>75.184168598762213</v>
      </c>
      <c r="AA26" s="10">
        <f>100-(R$429-Tabell2[[#This Row],[Sysselsettingsvekst10-T]])*100/R$432</f>
        <v>68.714786115465301</v>
      </c>
      <c r="AB26" s="10">
        <f>100-(S$429-Tabell2[[#This Row],[Yrkesaktivandel-T]])*100/S$432</f>
        <v>56.965879713356415</v>
      </c>
      <c r="AC26" s="10">
        <f>100-(T$429-Tabell2[[#This Row],[Inntekt-T]])*100/T$432</f>
        <v>100</v>
      </c>
      <c r="AD2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83.924514396104755</v>
      </c>
    </row>
    <row r="27" spans="1:30" x14ac:dyDescent="0.25">
      <c r="A27" s="2" t="s">
        <v>25</v>
      </c>
      <c r="B27" s="2">
        <v>25</v>
      </c>
      <c r="C27">
        <f>'Rådata-K'!N26</f>
        <v>1</v>
      </c>
      <c r="D27" s="30">
        <f>'Rådata-K'!M26</f>
        <v>11.291015625</v>
      </c>
      <c r="E27" s="32">
        <f>'Rådata-K'!O26</f>
        <v>645.00156038697594</v>
      </c>
      <c r="F27" s="32">
        <f>'Rådata-K'!P26</f>
        <v>0.15969027045225004</v>
      </c>
      <c r="G27" s="32">
        <f>'Rådata-K'!Q26</f>
        <v>0.11745209986452487</v>
      </c>
      <c r="H27" s="32">
        <f>'Rådata-K'!R26</f>
        <v>0.14144248758144637</v>
      </c>
      <c r="I27" s="32">
        <f>'Rådata-K'!S26</f>
        <v>0.11036625761065011</v>
      </c>
      <c r="J27" s="32">
        <f>'Rådata-K'!T26</f>
        <v>0.8618363977275908</v>
      </c>
      <c r="K27" s="67">
        <f>'Rådata-K'!L26</f>
        <v>629200</v>
      </c>
      <c r="L27" s="18">
        <f>Tabell2[[#This Row],[NIBR11]]</f>
        <v>1</v>
      </c>
      <c r="M27" s="32">
        <f>IF(Tabell2[[#This Row],[ReisetidOslo]]&lt;=D$427,D$427,IF(Tabell2[[#This Row],[ReisetidOslo]]&gt;=D$428,D$428,Tabell2[[#This Row],[ReisetidOslo]]))</f>
        <v>54.622656249999999</v>
      </c>
      <c r="N27" s="32">
        <f>IF(Tabell2[[#This Row],[Beftettotal]]&lt;=E$427,E$427,IF(Tabell2[[#This Row],[Beftettotal]]&gt;=E$428,E$428,Tabell2[[#This Row],[Beftettotal]]))</f>
        <v>135.41854576488009</v>
      </c>
      <c r="O27" s="32">
        <f>IF(Tabell2[[#This Row],[Befvekst10]]&lt;=F$427,F$427,IF(Tabell2[[#This Row],[Befvekst10]]&gt;=F$428,F$428,Tabell2[[#This Row],[Befvekst10]]))</f>
        <v>0.15969027045225004</v>
      </c>
      <c r="P27" s="32">
        <f>IF(Tabell2[[#This Row],[Kvinneandel]]&lt;=G$427,G$427,IF(Tabell2[[#This Row],[Kvinneandel]]&gt;=G$428,G$428,Tabell2[[#This Row],[Kvinneandel]]))</f>
        <v>0.11745209986452487</v>
      </c>
      <c r="Q27" s="32">
        <f>IF(Tabell2[[#This Row],[Eldreandel]]&lt;=H$427,H$427,IF(Tabell2[[#This Row],[Eldreandel]]&gt;=H$428,H$428,Tabell2[[#This Row],[Eldreandel]]))</f>
        <v>0.14144248758144637</v>
      </c>
      <c r="R27" s="32">
        <f>IF(Tabell2[[#This Row],[Sysselsettingsvekst10]]&lt;=I$427,I$427,IF(Tabell2[[#This Row],[Sysselsettingsvekst10]]&gt;=I$428,I$428,Tabell2[[#This Row],[Sysselsettingsvekst10]]))</f>
        <v>0.11036625761065011</v>
      </c>
      <c r="S27" s="32">
        <f>IF(Tabell2[[#This Row],[Yrkesaktivandel]]&lt;=J$427,J$427,IF(Tabell2[[#This Row],[Yrkesaktivandel]]&gt;=J$428,J$428,Tabell2[[#This Row],[Yrkesaktivandel]]))</f>
        <v>0.8618363977275908</v>
      </c>
      <c r="T27" s="67">
        <f>IF(Tabell2[[#This Row],[Inntekt]]&lt;=K$427,K$427,IF(Tabell2[[#This Row],[Inntekt]]&gt;=K$428,K$428,Tabell2[[#This Row],[Inntekt]]))</f>
        <v>449160</v>
      </c>
      <c r="U27" s="10">
        <f>IF(Tabell2[[#This Row],[NIBR11-T]]&lt;=L$430,100,IF(Tabell2[[#This Row],[NIBR11-T]]&gt;=L$429,0,100*(L$429-Tabell2[[#This Row],[NIBR11-T]])/L$432))</f>
        <v>100</v>
      </c>
      <c r="V27" s="10">
        <f>(M$429-Tabell2[[#This Row],[ReisetidOslo-T]])*100/M$432</f>
        <v>100</v>
      </c>
      <c r="W27" s="10">
        <f>100-(N$429-Tabell2[[#This Row],[Beftettotal-T]])*100/N$432</f>
        <v>100</v>
      </c>
      <c r="X27" s="10">
        <f>100-(O$429-Tabell2[[#This Row],[Befvekst10-T]])*100/O$432</f>
        <v>92.279217278526801</v>
      </c>
      <c r="Y27" s="10">
        <f>100-(P$429-Tabell2[[#This Row],[Kvinneandel-T]])*100/P$432</f>
        <v>72.729309862288318</v>
      </c>
      <c r="Z27" s="10">
        <f>(Q$429-Tabell2[[#This Row],[Eldreandel-T]])*100/Q$432</f>
        <v>88.003386106677667</v>
      </c>
      <c r="AA27" s="10">
        <f>100-(R$429-Tabell2[[#This Row],[Sysselsettingsvekst10-T]])*100/R$432</f>
        <v>75.974221693821207</v>
      </c>
      <c r="AB27" s="10">
        <f>100-(S$429-Tabell2[[#This Row],[Yrkesaktivandel-T]])*100/S$432</f>
        <v>50.2549589552806</v>
      </c>
      <c r="AC27" s="10">
        <f>100-(T$429-Tabell2[[#This Row],[Inntekt-T]])*100/T$432</f>
        <v>100</v>
      </c>
      <c r="AD2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89.115396319063848</v>
      </c>
    </row>
    <row r="28" spans="1:30" x14ac:dyDescent="0.25">
      <c r="A28" s="2" t="s">
        <v>26</v>
      </c>
      <c r="B28" s="2">
        <v>26</v>
      </c>
      <c r="C28">
        <f>'Rådata-K'!N27</f>
        <v>1</v>
      </c>
      <c r="D28" s="30">
        <f>'Rådata-K'!M27</f>
        <v>16.72265625</v>
      </c>
      <c r="E28" s="32">
        <f>'Rådata-K'!O27</f>
        <v>603.52497269387345</v>
      </c>
      <c r="F28" s="32">
        <f>'Rådata-K'!P27</f>
        <v>0.16416395326565802</v>
      </c>
      <c r="G28" s="32">
        <f>'Rådata-K'!Q27</f>
        <v>0.1145588259488985</v>
      </c>
      <c r="H28" s="32">
        <f>'Rådata-K'!R27</f>
        <v>0.13782267484904823</v>
      </c>
      <c r="I28" s="32">
        <f>'Rådata-K'!S27</f>
        <v>0.10651379195746102</v>
      </c>
      <c r="J28" s="32">
        <f>'Rådata-K'!T27</f>
        <v>0.86127481833266584</v>
      </c>
      <c r="K28" s="67">
        <f>'Rådata-K'!L27</f>
        <v>590600</v>
      </c>
      <c r="L28" s="18">
        <f>Tabell2[[#This Row],[NIBR11]]</f>
        <v>1</v>
      </c>
      <c r="M28" s="32">
        <f>IF(Tabell2[[#This Row],[ReisetidOslo]]&lt;=D$427,D$427,IF(Tabell2[[#This Row],[ReisetidOslo]]&gt;=D$428,D$428,Tabell2[[#This Row],[ReisetidOslo]]))</f>
        <v>54.622656249999999</v>
      </c>
      <c r="N28" s="32">
        <f>IF(Tabell2[[#This Row],[Beftettotal]]&lt;=E$427,E$427,IF(Tabell2[[#This Row],[Beftettotal]]&gt;=E$428,E$428,Tabell2[[#This Row],[Beftettotal]]))</f>
        <v>135.41854576488009</v>
      </c>
      <c r="O28" s="32">
        <f>IF(Tabell2[[#This Row],[Befvekst10]]&lt;=F$427,F$427,IF(Tabell2[[#This Row],[Befvekst10]]&gt;=F$428,F$428,Tabell2[[#This Row],[Befvekst10]]))</f>
        <v>0.16416395326565802</v>
      </c>
      <c r="P28" s="32">
        <f>IF(Tabell2[[#This Row],[Kvinneandel]]&lt;=G$427,G$427,IF(Tabell2[[#This Row],[Kvinneandel]]&gt;=G$428,G$428,Tabell2[[#This Row],[Kvinneandel]]))</f>
        <v>0.1145588259488985</v>
      </c>
      <c r="Q28" s="32">
        <f>IF(Tabell2[[#This Row],[Eldreandel]]&lt;=H$427,H$427,IF(Tabell2[[#This Row],[Eldreandel]]&gt;=H$428,H$428,Tabell2[[#This Row],[Eldreandel]]))</f>
        <v>0.13782267484904823</v>
      </c>
      <c r="R28" s="32">
        <f>IF(Tabell2[[#This Row],[Sysselsettingsvekst10]]&lt;=I$427,I$427,IF(Tabell2[[#This Row],[Sysselsettingsvekst10]]&gt;=I$428,I$428,Tabell2[[#This Row],[Sysselsettingsvekst10]]))</f>
        <v>0.10651379195746102</v>
      </c>
      <c r="S28" s="32">
        <f>IF(Tabell2[[#This Row],[Yrkesaktivandel]]&lt;=J$427,J$427,IF(Tabell2[[#This Row],[Yrkesaktivandel]]&gt;=J$428,J$428,Tabell2[[#This Row],[Yrkesaktivandel]]))</f>
        <v>0.86127481833266584</v>
      </c>
      <c r="T28" s="67">
        <f>IF(Tabell2[[#This Row],[Inntekt]]&lt;=K$427,K$427,IF(Tabell2[[#This Row],[Inntekt]]&gt;=K$428,K$428,Tabell2[[#This Row],[Inntekt]]))</f>
        <v>449160</v>
      </c>
      <c r="U28" s="10">
        <f>IF(Tabell2[[#This Row],[NIBR11-T]]&lt;=L$430,100,IF(Tabell2[[#This Row],[NIBR11-T]]&gt;=L$429,0,100*(L$429-Tabell2[[#This Row],[NIBR11-T]])/L$432))</f>
        <v>100</v>
      </c>
      <c r="V28" s="10">
        <f>(M$429-Tabell2[[#This Row],[ReisetidOslo-T]])*100/M$432</f>
        <v>100</v>
      </c>
      <c r="W28" s="10">
        <f>100-(N$429-Tabell2[[#This Row],[Beftettotal-T]])*100/N$432</f>
        <v>100</v>
      </c>
      <c r="X28" s="10">
        <f>100-(O$429-Tabell2[[#This Row],[Befvekst10-T]])*100/O$432</f>
        <v>94.206367120606117</v>
      </c>
      <c r="Y28" s="10">
        <f>100-(P$429-Tabell2[[#This Row],[Kvinneandel-T]])*100/P$432</f>
        <v>65.087296231254143</v>
      </c>
      <c r="Z28" s="10">
        <f>(Q$429-Tabell2[[#This Row],[Eldreandel-T]])*100/Q$432</f>
        <v>91.907760534250187</v>
      </c>
      <c r="AA28" s="10">
        <f>100-(R$429-Tabell2[[#This Row],[Sysselsettingsvekst10-T]])*100/R$432</f>
        <v>74.62645917594179</v>
      </c>
      <c r="AB28" s="10">
        <f>100-(S$429-Tabell2[[#This Row],[Yrkesaktivandel-T]])*100/S$432</f>
        <v>49.819373345803648</v>
      </c>
      <c r="AC28" s="10">
        <f>100-(T$429-Tabell2[[#This Row],[Inntekt-T]])*100/T$432</f>
        <v>100</v>
      </c>
      <c r="AD2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89.135609514570987</v>
      </c>
    </row>
    <row r="29" spans="1:30" x14ac:dyDescent="0.25">
      <c r="A29" s="2" t="s">
        <v>27</v>
      </c>
      <c r="B29" s="2">
        <v>27</v>
      </c>
      <c r="C29">
        <f>'Rådata-K'!N28</f>
        <v>1</v>
      </c>
      <c r="D29" s="30">
        <f>'Rådata-K'!M28</f>
        <v>49.40625</v>
      </c>
      <c r="E29" s="32">
        <f>'Rådata-K'!O28</f>
        <v>16.806355676642472</v>
      </c>
      <c r="F29" s="32">
        <f>'Rådata-K'!P28</f>
        <v>0.18951939353794067</v>
      </c>
      <c r="G29" s="32">
        <f>'Rådata-K'!Q28</f>
        <v>0.1142185373097389</v>
      </c>
      <c r="H29" s="32">
        <f>'Rådata-K'!R28</f>
        <v>0.16167553520603886</v>
      </c>
      <c r="I29" s="32">
        <f>'Rådata-K'!S28</f>
        <v>8.3041191936897407E-2</v>
      </c>
      <c r="J29" s="32">
        <f>'Rådata-K'!T28</f>
        <v>0.84575890469568937</v>
      </c>
      <c r="K29" s="67">
        <f>'Rådata-K'!L28</f>
        <v>392600</v>
      </c>
      <c r="L29" s="18">
        <f>Tabell2[[#This Row],[NIBR11]]</f>
        <v>1</v>
      </c>
      <c r="M29" s="32">
        <f>IF(Tabell2[[#This Row],[ReisetidOslo]]&lt;=D$427,D$427,IF(Tabell2[[#This Row],[ReisetidOslo]]&gt;=D$428,D$428,Tabell2[[#This Row],[ReisetidOslo]]))</f>
        <v>54.622656249999999</v>
      </c>
      <c r="N29" s="32">
        <f>IF(Tabell2[[#This Row],[Beftettotal]]&lt;=E$427,E$427,IF(Tabell2[[#This Row],[Beftettotal]]&gt;=E$428,E$428,Tabell2[[#This Row],[Beftettotal]]))</f>
        <v>16.806355676642472</v>
      </c>
      <c r="O29" s="32">
        <f>IF(Tabell2[[#This Row],[Befvekst10]]&lt;=F$427,F$427,IF(Tabell2[[#This Row],[Befvekst10]]&gt;=F$428,F$428,Tabell2[[#This Row],[Befvekst10]]))</f>
        <v>0.17761328412400704</v>
      </c>
      <c r="P29" s="32">
        <f>IF(Tabell2[[#This Row],[Kvinneandel]]&lt;=G$427,G$427,IF(Tabell2[[#This Row],[Kvinneandel]]&gt;=G$428,G$428,Tabell2[[#This Row],[Kvinneandel]]))</f>
        <v>0.1142185373097389</v>
      </c>
      <c r="Q29" s="32">
        <f>IF(Tabell2[[#This Row],[Eldreandel]]&lt;=H$427,H$427,IF(Tabell2[[#This Row],[Eldreandel]]&gt;=H$428,H$428,Tabell2[[#This Row],[Eldreandel]]))</f>
        <v>0.16167553520603886</v>
      </c>
      <c r="R29" s="32">
        <f>IF(Tabell2[[#This Row],[Sysselsettingsvekst10]]&lt;=I$427,I$427,IF(Tabell2[[#This Row],[Sysselsettingsvekst10]]&gt;=I$428,I$428,Tabell2[[#This Row],[Sysselsettingsvekst10]]))</f>
        <v>8.3041191936897407E-2</v>
      </c>
      <c r="S29" s="32">
        <f>IF(Tabell2[[#This Row],[Yrkesaktivandel]]&lt;=J$427,J$427,IF(Tabell2[[#This Row],[Yrkesaktivandel]]&gt;=J$428,J$428,Tabell2[[#This Row],[Yrkesaktivandel]]))</f>
        <v>0.84575890469568937</v>
      </c>
      <c r="T29" s="67">
        <f>IF(Tabell2[[#This Row],[Inntekt]]&lt;=K$427,K$427,IF(Tabell2[[#This Row],[Inntekt]]&gt;=K$428,K$428,Tabell2[[#This Row],[Inntekt]]))</f>
        <v>392600</v>
      </c>
      <c r="U29" s="10">
        <f>IF(Tabell2[[#This Row],[NIBR11-T]]&lt;=L$430,100,IF(Tabell2[[#This Row],[NIBR11-T]]&gt;=L$429,0,100*(L$429-Tabell2[[#This Row],[NIBR11-T]])/L$432))</f>
        <v>100</v>
      </c>
      <c r="V29" s="10">
        <f>(M$429-Tabell2[[#This Row],[ReisetidOslo-T]])*100/M$432</f>
        <v>100</v>
      </c>
      <c r="W29" s="10">
        <f>100-(N$429-Tabell2[[#This Row],[Beftettotal-T]])*100/N$432</f>
        <v>11.597639507294403</v>
      </c>
      <c r="X29" s="10">
        <f>100-(O$429-Tabell2[[#This Row],[Befvekst10-T]])*100/O$432</f>
        <v>100</v>
      </c>
      <c r="Y29" s="10">
        <f>100-(P$429-Tabell2[[#This Row],[Kvinneandel-T]])*100/P$432</f>
        <v>64.188490762162971</v>
      </c>
      <c r="Z29" s="10">
        <f>(Q$429-Tabell2[[#This Row],[Eldreandel-T]])*100/Q$432</f>
        <v>66.179772683178925</v>
      </c>
      <c r="AA29" s="10">
        <f>100-(R$429-Tabell2[[#This Row],[Sysselsettingsvekst10-T]])*100/R$432</f>
        <v>66.414707702258156</v>
      </c>
      <c r="AB29" s="10">
        <f>100-(S$429-Tabell2[[#This Row],[Yrkesaktivandel-T]])*100/S$432</f>
        <v>37.784550203730959</v>
      </c>
      <c r="AC29" s="10">
        <f>100-(T$429-Tabell2[[#This Row],[Inntekt-T]])*100/T$432</f>
        <v>37.17649672331445</v>
      </c>
      <c r="AD2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71.815752585926901</v>
      </c>
    </row>
    <row r="30" spans="1:30" x14ac:dyDescent="0.25">
      <c r="A30" s="2" t="s">
        <v>28</v>
      </c>
      <c r="B30" s="2">
        <v>28</v>
      </c>
      <c r="C30">
        <f>'Rådata-K'!N29</f>
        <v>1</v>
      </c>
      <c r="D30" s="30">
        <f>'Rådata-K'!M29</f>
        <v>35.0859375</v>
      </c>
      <c r="E30" s="32">
        <f>'Rådata-K'!O29</f>
        <v>85.495111799438575</v>
      </c>
      <c r="F30" s="32">
        <f>'Rådata-K'!P29</f>
        <v>0.27942348084305069</v>
      </c>
      <c r="G30" s="32">
        <f>'Rådata-K'!Q29</f>
        <v>0.12306821398245117</v>
      </c>
      <c r="H30" s="32">
        <f>'Rådata-K'!R29</f>
        <v>0.1151429380130201</v>
      </c>
      <c r="I30" s="32">
        <f>'Rådata-K'!S29</f>
        <v>0.35706492089470809</v>
      </c>
      <c r="J30" s="32">
        <f>'Rådata-K'!T29</f>
        <v>0.87028686558572388</v>
      </c>
      <c r="K30" s="67">
        <f>'Rådata-K'!L29</f>
        <v>453000</v>
      </c>
      <c r="L30" s="18">
        <f>Tabell2[[#This Row],[NIBR11]]</f>
        <v>1</v>
      </c>
      <c r="M30" s="32">
        <f>IF(Tabell2[[#This Row],[ReisetidOslo]]&lt;=D$427,D$427,IF(Tabell2[[#This Row],[ReisetidOslo]]&gt;=D$428,D$428,Tabell2[[#This Row],[ReisetidOslo]]))</f>
        <v>54.622656249999999</v>
      </c>
      <c r="N30" s="32">
        <f>IF(Tabell2[[#This Row],[Beftettotal]]&lt;=E$427,E$427,IF(Tabell2[[#This Row],[Beftettotal]]&gt;=E$428,E$428,Tabell2[[#This Row],[Beftettotal]]))</f>
        <v>85.495111799438575</v>
      </c>
      <c r="O30" s="32">
        <f>IF(Tabell2[[#This Row],[Befvekst10]]&lt;=F$427,F$427,IF(Tabell2[[#This Row],[Befvekst10]]&gt;=F$428,F$428,Tabell2[[#This Row],[Befvekst10]]))</f>
        <v>0.17761328412400704</v>
      </c>
      <c r="P30" s="32">
        <f>IF(Tabell2[[#This Row],[Kvinneandel]]&lt;=G$427,G$427,IF(Tabell2[[#This Row],[Kvinneandel]]&gt;=G$428,G$428,Tabell2[[#This Row],[Kvinneandel]]))</f>
        <v>0.12306821398245117</v>
      </c>
      <c r="Q30" s="32">
        <f>IF(Tabell2[[#This Row],[Eldreandel]]&lt;=H$427,H$427,IF(Tabell2[[#This Row],[Eldreandel]]&gt;=H$428,H$428,Tabell2[[#This Row],[Eldreandel]]))</f>
        <v>0.13032022035982854</v>
      </c>
      <c r="R30" s="32">
        <f>IF(Tabell2[[#This Row],[Sysselsettingsvekst10]]&lt;=I$427,I$427,IF(Tabell2[[#This Row],[Sysselsettingsvekst10]]&gt;=I$428,I$428,Tabell2[[#This Row],[Sysselsettingsvekst10]]))</f>
        <v>0.17904192152607218</v>
      </c>
      <c r="S30" s="32">
        <f>IF(Tabell2[[#This Row],[Yrkesaktivandel]]&lt;=J$427,J$427,IF(Tabell2[[#This Row],[Yrkesaktivandel]]&gt;=J$428,J$428,Tabell2[[#This Row],[Yrkesaktivandel]]))</f>
        <v>0.87028686558572388</v>
      </c>
      <c r="T30" s="67">
        <f>IF(Tabell2[[#This Row],[Inntekt]]&lt;=K$427,K$427,IF(Tabell2[[#This Row],[Inntekt]]&gt;=K$428,K$428,Tabell2[[#This Row],[Inntekt]]))</f>
        <v>449160</v>
      </c>
      <c r="U30" s="10">
        <f>IF(Tabell2[[#This Row],[NIBR11-T]]&lt;=L$430,100,IF(Tabell2[[#This Row],[NIBR11-T]]&gt;=L$429,0,100*(L$429-Tabell2[[#This Row],[NIBR11-T]])/L$432))</f>
        <v>100</v>
      </c>
      <c r="V30" s="10">
        <f>(M$429-Tabell2[[#This Row],[ReisetidOslo-T]])*100/M$432</f>
        <v>100</v>
      </c>
      <c r="W30" s="10">
        <f>100-(N$429-Tabell2[[#This Row],[Beftettotal-T]])*100/N$432</f>
        <v>62.791772050043271</v>
      </c>
      <c r="X30" s="10">
        <f>100-(O$429-Tabell2[[#This Row],[Befvekst10-T]])*100/O$432</f>
        <v>100</v>
      </c>
      <c r="Y30" s="10">
        <f>100-(P$429-Tabell2[[#This Row],[Kvinneandel-T]])*100/P$432</f>
        <v>87.56317001318412</v>
      </c>
      <c r="Z30" s="10">
        <f>(Q$429-Tabell2[[#This Row],[Eldreandel-T]])*100/Q$432</f>
        <v>100</v>
      </c>
      <c r="AA30" s="10">
        <f>100-(R$429-Tabell2[[#This Row],[Sysselsettingsvekst10-T]])*100/R$432</f>
        <v>100</v>
      </c>
      <c r="AB30" s="10">
        <f>100-(S$429-Tabell2[[#This Row],[Yrkesaktivandel-T]])*100/S$432</f>
        <v>56.809512462077471</v>
      </c>
      <c r="AC30" s="10">
        <f>100-(T$429-Tabell2[[#This Row],[Inntekt-T]])*100/T$432</f>
        <v>100</v>
      </c>
      <c r="AD3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91.338286951871282</v>
      </c>
    </row>
    <row r="31" spans="1:30" x14ac:dyDescent="0.25">
      <c r="A31" s="2" t="s">
        <v>29</v>
      </c>
      <c r="B31" s="2">
        <v>29</v>
      </c>
      <c r="C31">
        <f>'Rådata-K'!N30</f>
        <v>1</v>
      </c>
      <c r="D31" s="30">
        <f>'Rådata-K'!M30</f>
        <v>26.08984375</v>
      </c>
      <c r="E31" s="32">
        <f>'Rådata-K'!O30</f>
        <v>65.519392152415506</v>
      </c>
      <c r="F31" s="32">
        <f>'Rådata-K'!P30</f>
        <v>0.1792019593836105</v>
      </c>
      <c r="G31" s="32">
        <f>'Rådata-K'!Q30</f>
        <v>0.11432280398096062</v>
      </c>
      <c r="H31" s="32">
        <f>'Rådata-K'!R30</f>
        <v>0.13552574643011683</v>
      </c>
      <c r="I31" s="32">
        <f>'Rådata-K'!S30</f>
        <v>0.19709634843818735</v>
      </c>
      <c r="J31" s="32">
        <f>'Rådata-K'!T30</f>
        <v>0.8698960924923167</v>
      </c>
      <c r="K31" s="67">
        <f>'Rådata-K'!L30</f>
        <v>461400</v>
      </c>
      <c r="L31" s="18">
        <f>Tabell2[[#This Row],[NIBR11]]</f>
        <v>1</v>
      </c>
      <c r="M31" s="32">
        <f>IF(Tabell2[[#This Row],[ReisetidOslo]]&lt;=D$427,D$427,IF(Tabell2[[#This Row],[ReisetidOslo]]&gt;=D$428,D$428,Tabell2[[#This Row],[ReisetidOslo]]))</f>
        <v>54.622656249999999</v>
      </c>
      <c r="N31" s="32">
        <f>IF(Tabell2[[#This Row],[Beftettotal]]&lt;=E$427,E$427,IF(Tabell2[[#This Row],[Beftettotal]]&gt;=E$428,E$428,Tabell2[[#This Row],[Beftettotal]]))</f>
        <v>65.519392152415506</v>
      </c>
      <c r="O31" s="32">
        <f>IF(Tabell2[[#This Row],[Befvekst10]]&lt;=F$427,F$427,IF(Tabell2[[#This Row],[Befvekst10]]&gt;=F$428,F$428,Tabell2[[#This Row],[Befvekst10]]))</f>
        <v>0.17761328412400704</v>
      </c>
      <c r="P31" s="32">
        <f>IF(Tabell2[[#This Row],[Kvinneandel]]&lt;=G$427,G$427,IF(Tabell2[[#This Row],[Kvinneandel]]&gt;=G$428,G$428,Tabell2[[#This Row],[Kvinneandel]]))</f>
        <v>0.11432280398096062</v>
      </c>
      <c r="Q31" s="32">
        <f>IF(Tabell2[[#This Row],[Eldreandel]]&lt;=H$427,H$427,IF(Tabell2[[#This Row],[Eldreandel]]&gt;=H$428,H$428,Tabell2[[#This Row],[Eldreandel]]))</f>
        <v>0.13552574643011683</v>
      </c>
      <c r="R31" s="32">
        <f>IF(Tabell2[[#This Row],[Sysselsettingsvekst10]]&lt;=I$427,I$427,IF(Tabell2[[#This Row],[Sysselsettingsvekst10]]&gt;=I$428,I$428,Tabell2[[#This Row],[Sysselsettingsvekst10]]))</f>
        <v>0.17904192152607218</v>
      </c>
      <c r="S31" s="32">
        <f>IF(Tabell2[[#This Row],[Yrkesaktivandel]]&lt;=J$427,J$427,IF(Tabell2[[#This Row],[Yrkesaktivandel]]&gt;=J$428,J$428,Tabell2[[#This Row],[Yrkesaktivandel]]))</f>
        <v>0.8698960924923167</v>
      </c>
      <c r="T31" s="67">
        <f>IF(Tabell2[[#This Row],[Inntekt]]&lt;=K$427,K$427,IF(Tabell2[[#This Row],[Inntekt]]&gt;=K$428,K$428,Tabell2[[#This Row],[Inntekt]]))</f>
        <v>449160</v>
      </c>
      <c r="U31" s="10">
        <f>IF(Tabell2[[#This Row],[NIBR11-T]]&lt;=L$430,100,IF(Tabell2[[#This Row],[NIBR11-T]]&gt;=L$429,0,100*(L$429-Tabell2[[#This Row],[NIBR11-T]])/L$432))</f>
        <v>100</v>
      </c>
      <c r="V31" s="10">
        <f>(M$429-Tabell2[[#This Row],[ReisetidOslo-T]])*100/M$432</f>
        <v>100</v>
      </c>
      <c r="W31" s="10">
        <f>100-(N$429-Tabell2[[#This Row],[Beftettotal-T]])*100/N$432</f>
        <v>47.903751113715629</v>
      </c>
      <c r="X31" s="10">
        <f>100-(O$429-Tabell2[[#This Row],[Befvekst10-T]])*100/O$432</f>
        <v>100</v>
      </c>
      <c r="Y31" s="10">
        <f>100-(P$429-Tabell2[[#This Row],[Kvinneandel-T]])*100/P$432</f>
        <v>64.463890653765162</v>
      </c>
      <c r="Z31" s="10">
        <f>(Q$429-Tabell2[[#This Row],[Eldreandel-T]])*100/Q$432</f>
        <v>94.385255709780679</v>
      </c>
      <c r="AA31" s="10">
        <f>100-(R$429-Tabell2[[#This Row],[Sysselsettingsvekst10-T]])*100/R$432</f>
        <v>100</v>
      </c>
      <c r="AB31" s="10">
        <f>100-(S$429-Tabell2[[#This Row],[Yrkesaktivandel-T]])*100/S$432</f>
        <v>56.506411711591952</v>
      </c>
      <c r="AC31" s="10">
        <f>100-(T$429-Tabell2[[#This Row],[Inntekt-T]])*100/T$432</f>
        <v>100</v>
      </c>
      <c r="AD3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88.383473600708058</v>
      </c>
    </row>
    <row r="32" spans="1:30" x14ac:dyDescent="0.25">
      <c r="A32" s="2" t="s">
        <v>30</v>
      </c>
      <c r="B32" s="2">
        <v>30</v>
      </c>
      <c r="C32">
        <f>'Rådata-K'!N31</f>
        <v>1</v>
      </c>
      <c r="D32" s="30">
        <f>'Rådata-K'!M31</f>
        <v>21.171875</v>
      </c>
      <c r="E32" s="32">
        <f>'Rådata-K'!O31</f>
        <v>247.34933035714283</v>
      </c>
      <c r="F32" s="32">
        <f>'Rådata-K'!P31</f>
        <v>0.17713451068915154</v>
      </c>
      <c r="G32" s="32">
        <f>'Rådata-K'!Q31</f>
        <v>0.13079526226734348</v>
      </c>
      <c r="H32" s="32">
        <f>'Rådata-K'!R31</f>
        <v>0.11821771009588268</v>
      </c>
      <c r="I32" s="32">
        <f>'Rådata-K'!S31</f>
        <v>0.1791975068172964</v>
      </c>
      <c r="J32" s="32">
        <f>'Rådata-K'!T31</f>
        <v>0.86491803278688528</v>
      </c>
      <c r="K32" s="67">
        <f>'Rådata-K'!L31</f>
        <v>459300</v>
      </c>
      <c r="L32" s="18">
        <f>Tabell2[[#This Row],[NIBR11]]</f>
        <v>1</v>
      </c>
      <c r="M32" s="32">
        <f>IF(Tabell2[[#This Row],[ReisetidOslo]]&lt;=D$427,D$427,IF(Tabell2[[#This Row],[ReisetidOslo]]&gt;=D$428,D$428,Tabell2[[#This Row],[ReisetidOslo]]))</f>
        <v>54.622656249999999</v>
      </c>
      <c r="N32" s="32">
        <f>IF(Tabell2[[#This Row],[Beftettotal]]&lt;=E$427,E$427,IF(Tabell2[[#This Row],[Beftettotal]]&gt;=E$428,E$428,Tabell2[[#This Row],[Beftettotal]]))</f>
        <v>135.41854576488009</v>
      </c>
      <c r="O32" s="32">
        <f>IF(Tabell2[[#This Row],[Befvekst10]]&lt;=F$427,F$427,IF(Tabell2[[#This Row],[Befvekst10]]&gt;=F$428,F$428,Tabell2[[#This Row],[Befvekst10]]))</f>
        <v>0.17713451068915154</v>
      </c>
      <c r="P32" s="32">
        <f>IF(Tabell2[[#This Row],[Kvinneandel]]&lt;=G$427,G$427,IF(Tabell2[[#This Row],[Kvinneandel]]&gt;=G$428,G$428,Tabell2[[#This Row],[Kvinneandel]]))</f>
        <v>0.12777681011054584</v>
      </c>
      <c r="Q32" s="32">
        <f>IF(Tabell2[[#This Row],[Eldreandel]]&lt;=H$427,H$427,IF(Tabell2[[#This Row],[Eldreandel]]&gt;=H$428,H$428,Tabell2[[#This Row],[Eldreandel]]))</f>
        <v>0.13032022035982854</v>
      </c>
      <c r="R32" s="32">
        <f>IF(Tabell2[[#This Row],[Sysselsettingsvekst10]]&lt;=I$427,I$427,IF(Tabell2[[#This Row],[Sysselsettingsvekst10]]&gt;=I$428,I$428,Tabell2[[#This Row],[Sysselsettingsvekst10]]))</f>
        <v>0.17904192152607218</v>
      </c>
      <c r="S32" s="32">
        <f>IF(Tabell2[[#This Row],[Yrkesaktivandel]]&lt;=J$427,J$427,IF(Tabell2[[#This Row],[Yrkesaktivandel]]&gt;=J$428,J$428,Tabell2[[#This Row],[Yrkesaktivandel]]))</f>
        <v>0.86491803278688528</v>
      </c>
      <c r="T32" s="67">
        <f>IF(Tabell2[[#This Row],[Inntekt]]&lt;=K$427,K$427,IF(Tabell2[[#This Row],[Inntekt]]&gt;=K$428,K$428,Tabell2[[#This Row],[Inntekt]]))</f>
        <v>449160</v>
      </c>
      <c r="U32" s="10">
        <f>IF(Tabell2[[#This Row],[NIBR11-T]]&lt;=L$430,100,IF(Tabell2[[#This Row],[NIBR11-T]]&gt;=L$429,0,100*(L$429-Tabell2[[#This Row],[NIBR11-T]])/L$432))</f>
        <v>100</v>
      </c>
      <c r="V32" s="10">
        <f>(M$429-Tabell2[[#This Row],[ReisetidOslo-T]])*100/M$432</f>
        <v>100</v>
      </c>
      <c r="W32" s="10">
        <f>100-(N$429-Tabell2[[#This Row],[Beftettotal-T]])*100/N$432</f>
        <v>100</v>
      </c>
      <c r="X32" s="10">
        <f>100-(O$429-Tabell2[[#This Row],[Befvekst10-T]])*100/O$432</f>
        <v>99.793756466907254</v>
      </c>
      <c r="Y32" s="10">
        <f>100-(P$429-Tabell2[[#This Row],[Kvinneandel-T]])*100/P$432</f>
        <v>100</v>
      </c>
      <c r="Z32" s="10">
        <f>(Q$429-Tabell2[[#This Row],[Eldreandel-T]])*100/Q$432</f>
        <v>100</v>
      </c>
      <c r="AA32" s="10">
        <f>100-(R$429-Tabell2[[#This Row],[Sysselsettingsvekst10-T]])*100/R$432</f>
        <v>100</v>
      </c>
      <c r="AB32" s="10">
        <f>100-(S$429-Tabell2[[#This Row],[Yrkesaktivandel-T]])*100/S$432</f>
        <v>52.645210267239229</v>
      </c>
      <c r="AC32" s="10">
        <f>100-(T$429-Tabell2[[#This Row],[Inntekt-T]])*100/T$432</f>
        <v>100</v>
      </c>
      <c r="AD3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95.22327232010538</v>
      </c>
    </row>
    <row r="33" spans="1:30" x14ac:dyDescent="0.25">
      <c r="A33" s="2" t="s">
        <v>31</v>
      </c>
      <c r="B33" s="2">
        <v>31</v>
      </c>
      <c r="C33">
        <f>'Rådata-K'!N32</f>
        <v>1</v>
      </c>
      <c r="D33" s="30">
        <f>'Rådata-K'!M32</f>
        <v>37.4609375</v>
      </c>
      <c r="E33" s="32">
        <f>'Rådata-K'!O32</f>
        <v>46.981683721730164</v>
      </c>
      <c r="F33" s="32">
        <f>'Rådata-K'!P32</f>
        <v>0.13115942028985517</v>
      </c>
      <c r="G33" s="32">
        <f>'Rådata-K'!Q32</f>
        <v>0.11869680607669077</v>
      </c>
      <c r="H33" s="32">
        <f>'Rådata-K'!R32</f>
        <v>0.12391324242701565</v>
      </c>
      <c r="I33" s="32">
        <f>'Rådata-K'!S32</f>
        <v>0.19298245614035081</v>
      </c>
      <c r="J33" s="32">
        <f>'Rådata-K'!T32</f>
        <v>0.85104086353122588</v>
      </c>
      <c r="K33" s="67">
        <f>'Rådata-K'!L32</f>
        <v>437500</v>
      </c>
      <c r="L33" s="18">
        <f>Tabell2[[#This Row],[NIBR11]]</f>
        <v>1</v>
      </c>
      <c r="M33" s="32">
        <f>IF(Tabell2[[#This Row],[ReisetidOslo]]&lt;=D$427,D$427,IF(Tabell2[[#This Row],[ReisetidOslo]]&gt;=D$428,D$428,Tabell2[[#This Row],[ReisetidOslo]]))</f>
        <v>54.622656249999999</v>
      </c>
      <c r="N33" s="32">
        <f>IF(Tabell2[[#This Row],[Beftettotal]]&lt;=E$427,E$427,IF(Tabell2[[#This Row],[Beftettotal]]&gt;=E$428,E$428,Tabell2[[#This Row],[Beftettotal]]))</f>
        <v>46.981683721730164</v>
      </c>
      <c r="O33" s="32">
        <f>IF(Tabell2[[#This Row],[Befvekst10]]&lt;=F$427,F$427,IF(Tabell2[[#This Row],[Befvekst10]]&gt;=F$428,F$428,Tabell2[[#This Row],[Befvekst10]]))</f>
        <v>0.13115942028985517</v>
      </c>
      <c r="P33" s="32">
        <f>IF(Tabell2[[#This Row],[Kvinneandel]]&lt;=G$427,G$427,IF(Tabell2[[#This Row],[Kvinneandel]]&gt;=G$428,G$428,Tabell2[[#This Row],[Kvinneandel]]))</f>
        <v>0.11869680607669077</v>
      </c>
      <c r="Q33" s="32">
        <f>IF(Tabell2[[#This Row],[Eldreandel]]&lt;=H$427,H$427,IF(Tabell2[[#This Row],[Eldreandel]]&gt;=H$428,H$428,Tabell2[[#This Row],[Eldreandel]]))</f>
        <v>0.13032022035982854</v>
      </c>
      <c r="R33" s="32">
        <f>IF(Tabell2[[#This Row],[Sysselsettingsvekst10]]&lt;=I$427,I$427,IF(Tabell2[[#This Row],[Sysselsettingsvekst10]]&gt;=I$428,I$428,Tabell2[[#This Row],[Sysselsettingsvekst10]]))</f>
        <v>0.17904192152607218</v>
      </c>
      <c r="S33" s="32">
        <f>IF(Tabell2[[#This Row],[Yrkesaktivandel]]&lt;=J$427,J$427,IF(Tabell2[[#This Row],[Yrkesaktivandel]]&gt;=J$428,J$428,Tabell2[[#This Row],[Yrkesaktivandel]]))</f>
        <v>0.85104086353122588</v>
      </c>
      <c r="T33" s="67">
        <f>IF(Tabell2[[#This Row],[Inntekt]]&lt;=K$427,K$427,IF(Tabell2[[#This Row],[Inntekt]]&gt;=K$428,K$428,Tabell2[[#This Row],[Inntekt]]))</f>
        <v>437500</v>
      </c>
      <c r="U33" s="10">
        <f>IF(Tabell2[[#This Row],[NIBR11-T]]&lt;=L$430,100,IF(Tabell2[[#This Row],[NIBR11-T]]&gt;=L$429,0,100*(L$429-Tabell2[[#This Row],[NIBR11-T]])/L$432))</f>
        <v>100</v>
      </c>
      <c r="V33" s="10">
        <f>(M$429-Tabell2[[#This Row],[ReisetidOslo-T]])*100/M$432</f>
        <v>100</v>
      </c>
      <c r="W33" s="10">
        <f>100-(N$429-Tabell2[[#This Row],[Beftettotal-T]])*100/N$432</f>
        <v>34.087488365519192</v>
      </c>
      <c r="X33" s="10">
        <f>100-(O$429-Tabell2[[#This Row],[Befvekst10-T]])*100/O$432</f>
        <v>79.988845860137715</v>
      </c>
      <c r="Y33" s="10">
        <f>100-(P$429-Tabell2[[#This Row],[Kvinneandel-T]])*100/P$432</f>
        <v>76.016956354599571</v>
      </c>
      <c r="Z33" s="10">
        <f>(Q$429-Tabell2[[#This Row],[Eldreandel-T]])*100/Q$432</f>
        <v>100</v>
      </c>
      <c r="AA33" s="10">
        <f>100-(R$429-Tabell2[[#This Row],[Sysselsettingsvekst10-T]])*100/R$432</f>
        <v>100</v>
      </c>
      <c r="AB33" s="10">
        <f>100-(S$429-Tabell2[[#This Row],[Yrkesaktivandel-T]])*100/S$432</f>
        <v>41.881469142355392</v>
      </c>
      <c r="AC33" s="10">
        <f>100-(T$429-Tabell2[[#This Row],[Inntekt-T]])*100/T$432</f>
        <v>87.048761523936463</v>
      </c>
      <c r="AD3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81.100388892938653</v>
      </c>
    </row>
    <row r="34" spans="1:30" x14ac:dyDescent="0.25">
      <c r="A34" s="2" t="s">
        <v>32</v>
      </c>
      <c r="B34" s="2">
        <v>32</v>
      </c>
      <c r="C34">
        <f>'Rådata-K'!N33</f>
        <v>1</v>
      </c>
      <c r="D34" s="30">
        <f>'Rådata-K'!M33</f>
        <v>14.3671875</v>
      </c>
      <c r="E34" s="32">
        <f>'Rådata-K'!O33</f>
        <v>530.20552799433028</v>
      </c>
      <c r="F34" s="32">
        <f>'Rådata-K'!P33</f>
        <v>0.19260322014984865</v>
      </c>
      <c r="G34" s="32">
        <f>'Rådata-K'!Q33</f>
        <v>0.12468587927070524</v>
      </c>
      <c r="H34" s="32">
        <f>'Rådata-K'!R33</f>
        <v>0.13441693845907074</v>
      </c>
      <c r="I34" s="32">
        <f>'Rådata-K'!S33</f>
        <v>0.28352612177450109</v>
      </c>
      <c r="J34" s="32">
        <f>'Rådata-K'!T33</f>
        <v>0.84940808577172211</v>
      </c>
      <c r="K34" s="67">
        <f>'Rådata-K'!L33</f>
        <v>472100</v>
      </c>
      <c r="L34" s="18">
        <f>Tabell2[[#This Row],[NIBR11]]</f>
        <v>1</v>
      </c>
      <c r="M34" s="32">
        <f>IF(Tabell2[[#This Row],[ReisetidOslo]]&lt;=D$427,D$427,IF(Tabell2[[#This Row],[ReisetidOslo]]&gt;=D$428,D$428,Tabell2[[#This Row],[ReisetidOslo]]))</f>
        <v>54.622656249999999</v>
      </c>
      <c r="N34" s="32">
        <f>IF(Tabell2[[#This Row],[Beftettotal]]&lt;=E$427,E$427,IF(Tabell2[[#This Row],[Beftettotal]]&gt;=E$428,E$428,Tabell2[[#This Row],[Beftettotal]]))</f>
        <v>135.41854576488009</v>
      </c>
      <c r="O34" s="32">
        <f>IF(Tabell2[[#This Row],[Befvekst10]]&lt;=F$427,F$427,IF(Tabell2[[#This Row],[Befvekst10]]&gt;=F$428,F$428,Tabell2[[#This Row],[Befvekst10]]))</f>
        <v>0.17761328412400704</v>
      </c>
      <c r="P34" s="32">
        <f>IF(Tabell2[[#This Row],[Kvinneandel]]&lt;=G$427,G$427,IF(Tabell2[[#This Row],[Kvinneandel]]&gt;=G$428,G$428,Tabell2[[#This Row],[Kvinneandel]]))</f>
        <v>0.12468587927070524</v>
      </c>
      <c r="Q34" s="32">
        <f>IF(Tabell2[[#This Row],[Eldreandel]]&lt;=H$427,H$427,IF(Tabell2[[#This Row],[Eldreandel]]&gt;=H$428,H$428,Tabell2[[#This Row],[Eldreandel]]))</f>
        <v>0.13441693845907074</v>
      </c>
      <c r="R34" s="32">
        <f>IF(Tabell2[[#This Row],[Sysselsettingsvekst10]]&lt;=I$427,I$427,IF(Tabell2[[#This Row],[Sysselsettingsvekst10]]&gt;=I$428,I$428,Tabell2[[#This Row],[Sysselsettingsvekst10]]))</f>
        <v>0.17904192152607218</v>
      </c>
      <c r="S34" s="32">
        <f>IF(Tabell2[[#This Row],[Yrkesaktivandel]]&lt;=J$427,J$427,IF(Tabell2[[#This Row],[Yrkesaktivandel]]&gt;=J$428,J$428,Tabell2[[#This Row],[Yrkesaktivandel]]))</f>
        <v>0.84940808577172211</v>
      </c>
      <c r="T34" s="67">
        <f>IF(Tabell2[[#This Row],[Inntekt]]&lt;=K$427,K$427,IF(Tabell2[[#This Row],[Inntekt]]&gt;=K$428,K$428,Tabell2[[#This Row],[Inntekt]]))</f>
        <v>449160</v>
      </c>
      <c r="U34" s="10">
        <f>IF(Tabell2[[#This Row],[NIBR11-T]]&lt;=L$430,100,IF(Tabell2[[#This Row],[NIBR11-T]]&gt;=L$429,0,100*(L$429-Tabell2[[#This Row],[NIBR11-T]])/L$432))</f>
        <v>100</v>
      </c>
      <c r="V34" s="10">
        <f>(M$429-Tabell2[[#This Row],[ReisetidOslo-T]])*100/M$432</f>
        <v>100</v>
      </c>
      <c r="W34" s="10">
        <f>100-(N$429-Tabell2[[#This Row],[Beftettotal-T]])*100/N$432</f>
        <v>100</v>
      </c>
      <c r="X34" s="10">
        <f>100-(O$429-Tabell2[[#This Row],[Befvekst10-T]])*100/O$432</f>
        <v>100</v>
      </c>
      <c r="Y34" s="10">
        <f>100-(P$429-Tabell2[[#This Row],[Kvinneandel-T]])*100/P$432</f>
        <v>91.835914503956644</v>
      </c>
      <c r="Z34" s="10">
        <f>(Q$429-Tabell2[[#This Row],[Eldreandel-T]])*100/Q$432</f>
        <v>95.581229592212111</v>
      </c>
      <c r="AA34" s="10">
        <f>100-(R$429-Tabell2[[#This Row],[Sysselsettingsvekst10-T]])*100/R$432</f>
        <v>100</v>
      </c>
      <c r="AB34" s="10">
        <f>100-(S$429-Tabell2[[#This Row],[Yrkesaktivandel-T]])*100/S$432</f>
        <v>40.615015098739903</v>
      </c>
      <c r="AC34" s="10">
        <f>100-(T$429-Tabell2[[#This Row],[Inntekt-T]])*100/T$432</f>
        <v>100</v>
      </c>
      <c r="AD3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93.432358714682422</v>
      </c>
    </row>
    <row r="35" spans="1:30" x14ac:dyDescent="0.25">
      <c r="A35" s="2" t="s">
        <v>33</v>
      </c>
      <c r="B35" s="2">
        <v>33</v>
      </c>
      <c r="C35">
        <f>'Rådata-K'!N34</f>
        <v>1</v>
      </c>
      <c r="D35" s="30">
        <f>'Rådata-K'!M34</f>
        <v>19.1875</v>
      </c>
      <c r="E35" s="32">
        <f>'Rådata-K'!O34</f>
        <v>691.5368639667704</v>
      </c>
      <c r="F35" s="32">
        <f>'Rådata-K'!P34</f>
        <v>0.1951454786100455</v>
      </c>
      <c r="G35" s="32">
        <f>'Rådata-K'!Q34</f>
        <v>0.12701779412868833</v>
      </c>
      <c r="H35" s="32">
        <f>'Rådata-K'!R34</f>
        <v>0.13589608829491703</v>
      </c>
      <c r="I35" s="32">
        <f>'Rådata-K'!S34</f>
        <v>0.17747150594131433</v>
      </c>
      <c r="J35" s="32">
        <f>'Rådata-K'!T34</f>
        <v>0.83788718207000756</v>
      </c>
      <c r="K35" s="67">
        <f>'Rådata-K'!L34</f>
        <v>455500</v>
      </c>
      <c r="L35" s="18">
        <f>Tabell2[[#This Row],[NIBR11]]</f>
        <v>1</v>
      </c>
      <c r="M35" s="32">
        <f>IF(Tabell2[[#This Row],[ReisetidOslo]]&lt;=D$427,D$427,IF(Tabell2[[#This Row],[ReisetidOslo]]&gt;=D$428,D$428,Tabell2[[#This Row],[ReisetidOslo]]))</f>
        <v>54.622656249999999</v>
      </c>
      <c r="N35" s="32">
        <f>IF(Tabell2[[#This Row],[Beftettotal]]&lt;=E$427,E$427,IF(Tabell2[[#This Row],[Beftettotal]]&gt;=E$428,E$428,Tabell2[[#This Row],[Beftettotal]]))</f>
        <v>135.41854576488009</v>
      </c>
      <c r="O35" s="32">
        <f>IF(Tabell2[[#This Row],[Befvekst10]]&lt;=F$427,F$427,IF(Tabell2[[#This Row],[Befvekst10]]&gt;=F$428,F$428,Tabell2[[#This Row],[Befvekst10]]))</f>
        <v>0.17761328412400704</v>
      </c>
      <c r="P35" s="32">
        <f>IF(Tabell2[[#This Row],[Kvinneandel]]&lt;=G$427,G$427,IF(Tabell2[[#This Row],[Kvinneandel]]&gt;=G$428,G$428,Tabell2[[#This Row],[Kvinneandel]]))</f>
        <v>0.12701779412868833</v>
      </c>
      <c r="Q35" s="32">
        <f>IF(Tabell2[[#This Row],[Eldreandel]]&lt;=H$427,H$427,IF(Tabell2[[#This Row],[Eldreandel]]&gt;=H$428,H$428,Tabell2[[#This Row],[Eldreandel]]))</f>
        <v>0.13589608829491703</v>
      </c>
      <c r="R35" s="32">
        <f>IF(Tabell2[[#This Row],[Sysselsettingsvekst10]]&lt;=I$427,I$427,IF(Tabell2[[#This Row],[Sysselsettingsvekst10]]&gt;=I$428,I$428,Tabell2[[#This Row],[Sysselsettingsvekst10]]))</f>
        <v>0.17747150594131433</v>
      </c>
      <c r="S35" s="32">
        <f>IF(Tabell2[[#This Row],[Yrkesaktivandel]]&lt;=J$427,J$427,IF(Tabell2[[#This Row],[Yrkesaktivandel]]&gt;=J$428,J$428,Tabell2[[#This Row],[Yrkesaktivandel]]))</f>
        <v>0.83788718207000756</v>
      </c>
      <c r="T35" s="67">
        <f>IF(Tabell2[[#This Row],[Inntekt]]&lt;=K$427,K$427,IF(Tabell2[[#This Row],[Inntekt]]&gt;=K$428,K$428,Tabell2[[#This Row],[Inntekt]]))</f>
        <v>449160</v>
      </c>
      <c r="U35" s="10">
        <f>IF(Tabell2[[#This Row],[NIBR11-T]]&lt;=L$430,100,IF(Tabell2[[#This Row],[NIBR11-T]]&gt;=L$429,0,100*(L$429-Tabell2[[#This Row],[NIBR11-T]])/L$432))</f>
        <v>100</v>
      </c>
      <c r="V35" s="10">
        <f>(M$429-Tabell2[[#This Row],[ReisetidOslo-T]])*100/M$432</f>
        <v>100</v>
      </c>
      <c r="W35" s="10">
        <f>100-(N$429-Tabell2[[#This Row],[Beftettotal-T]])*100/N$432</f>
        <v>100</v>
      </c>
      <c r="X35" s="10">
        <f>100-(O$429-Tabell2[[#This Row],[Befvekst10-T]])*100/O$432</f>
        <v>100</v>
      </c>
      <c r="Y35" s="10">
        <f>100-(P$429-Tabell2[[#This Row],[Kvinneandel-T]])*100/P$432</f>
        <v>97.995208663721641</v>
      </c>
      <c r="Z35" s="10">
        <f>(Q$429-Tabell2[[#This Row],[Eldreandel-T]])*100/Q$432</f>
        <v>93.985800430383549</v>
      </c>
      <c r="AA35" s="10">
        <f>100-(R$429-Tabell2[[#This Row],[Sysselsettingsvekst10-T]])*100/R$432</f>
        <v>99.450599316601767</v>
      </c>
      <c r="AB35" s="10">
        <f>100-(S$429-Tabell2[[#This Row],[Yrkesaktivandel-T]])*100/S$432</f>
        <v>31.678896882887031</v>
      </c>
      <c r="AC35" s="10">
        <f>100-(T$429-Tabell2[[#This Row],[Inntekt-T]])*100/T$432</f>
        <v>100</v>
      </c>
      <c r="AD3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92.712000074654156</v>
      </c>
    </row>
    <row r="36" spans="1:30" x14ac:dyDescent="0.25">
      <c r="A36" s="2" t="s">
        <v>34</v>
      </c>
      <c r="B36" s="2">
        <v>34</v>
      </c>
      <c r="C36">
        <f>'Rådata-K'!N35</f>
        <v>1</v>
      </c>
      <c r="D36" s="30">
        <f>'Rådata-K'!M35</f>
        <v>26.1015625</v>
      </c>
      <c r="E36" s="32">
        <f>'Rådata-K'!O35</f>
        <v>124.64694195349837</v>
      </c>
      <c r="F36" s="32">
        <f>'Rådata-K'!P35</f>
        <v>0.16251001602564097</v>
      </c>
      <c r="G36" s="32">
        <f>'Rådata-K'!Q35</f>
        <v>0.11269547236462327</v>
      </c>
      <c r="H36" s="32">
        <f>'Rådata-K'!R35</f>
        <v>0.12342222030758626</v>
      </c>
      <c r="I36" s="32">
        <f>'Rådata-K'!S35</f>
        <v>0.11484439548333802</v>
      </c>
      <c r="J36" s="32">
        <f>'Rådata-K'!T35</f>
        <v>0.88277740961637585</v>
      </c>
      <c r="K36" s="67">
        <f>'Rådata-K'!L35</f>
        <v>481600</v>
      </c>
      <c r="L36" s="18">
        <f>Tabell2[[#This Row],[NIBR11]]</f>
        <v>1</v>
      </c>
      <c r="M36" s="32">
        <f>IF(Tabell2[[#This Row],[ReisetidOslo]]&lt;=D$427,D$427,IF(Tabell2[[#This Row],[ReisetidOslo]]&gt;=D$428,D$428,Tabell2[[#This Row],[ReisetidOslo]]))</f>
        <v>54.622656249999999</v>
      </c>
      <c r="N36" s="32">
        <f>IF(Tabell2[[#This Row],[Beftettotal]]&lt;=E$427,E$427,IF(Tabell2[[#This Row],[Beftettotal]]&gt;=E$428,E$428,Tabell2[[#This Row],[Beftettotal]]))</f>
        <v>124.64694195349837</v>
      </c>
      <c r="O36" s="32">
        <f>IF(Tabell2[[#This Row],[Befvekst10]]&lt;=F$427,F$427,IF(Tabell2[[#This Row],[Befvekst10]]&gt;=F$428,F$428,Tabell2[[#This Row],[Befvekst10]]))</f>
        <v>0.16251001602564097</v>
      </c>
      <c r="P36" s="32">
        <f>IF(Tabell2[[#This Row],[Kvinneandel]]&lt;=G$427,G$427,IF(Tabell2[[#This Row],[Kvinneandel]]&gt;=G$428,G$428,Tabell2[[#This Row],[Kvinneandel]]))</f>
        <v>0.11269547236462327</v>
      </c>
      <c r="Q36" s="32">
        <f>IF(Tabell2[[#This Row],[Eldreandel]]&lt;=H$427,H$427,IF(Tabell2[[#This Row],[Eldreandel]]&gt;=H$428,H$428,Tabell2[[#This Row],[Eldreandel]]))</f>
        <v>0.13032022035982854</v>
      </c>
      <c r="R36" s="32">
        <f>IF(Tabell2[[#This Row],[Sysselsettingsvekst10]]&lt;=I$427,I$427,IF(Tabell2[[#This Row],[Sysselsettingsvekst10]]&gt;=I$428,I$428,Tabell2[[#This Row],[Sysselsettingsvekst10]]))</f>
        <v>0.11484439548333802</v>
      </c>
      <c r="S36" s="32">
        <f>IF(Tabell2[[#This Row],[Yrkesaktivandel]]&lt;=J$427,J$427,IF(Tabell2[[#This Row],[Yrkesaktivandel]]&gt;=J$428,J$428,Tabell2[[#This Row],[Yrkesaktivandel]]))</f>
        <v>0.88277740961637585</v>
      </c>
      <c r="T36" s="67">
        <f>IF(Tabell2[[#This Row],[Inntekt]]&lt;=K$427,K$427,IF(Tabell2[[#This Row],[Inntekt]]&gt;=K$428,K$428,Tabell2[[#This Row],[Inntekt]]))</f>
        <v>449160</v>
      </c>
      <c r="U36" s="10">
        <f>IF(Tabell2[[#This Row],[NIBR11-T]]&lt;=L$430,100,IF(Tabell2[[#This Row],[NIBR11-T]]&gt;=L$429,0,100*(L$429-Tabell2[[#This Row],[NIBR11-T]])/L$432))</f>
        <v>100</v>
      </c>
      <c r="V36" s="10">
        <f>(M$429-Tabell2[[#This Row],[ReisetidOslo-T]])*100/M$432</f>
        <v>100</v>
      </c>
      <c r="W36" s="10">
        <f>100-(N$429-Tabell2[[#This Row],[Beftettotal-T]])*100/N$432</f>
        <v>91.97186054392904</v>
      </c>
      <c r="X36" s="10">
        <f>100-(O$429-Tabell2[[#This Row],[Befvekst10-T]])*100/O$432</f>
        <v>93.493892628370077</v>
      </c>
      <c r="Y36" s="10">
        <f>100-(P$429-Tabell2[[#This Row],[Kvinneandel-T]])*100/P$432</f>
        <v>60.165614459763461</v>
      </c>
      <c r="Z36" s="10">
        <f>(Q$429-Tabell2[[#This Row],[Eldreandel-T]])*100/Q$432</f>
        <v>100</v>
      </c>
      <c r="AA36" s="10">
        <f>100-(R$429-Tabell2[[#This Row],[Sysselsettingsvekst10-T]])*100/R$432</f>
        <v>77.540871968745478</v>
      </c>
      <c r="AB36" s="10">
        <f>100-(S$429-Tabell2[[#This Row],[Yrkesaktivandel-T]])*100/S$432</f>
        <v>66.497726245307902</v>
      </c>
      <c r="AC36" s="10">
        <f>100-(T$429-Tabell2[[#This Row],[Inntekt-T]])*100/T$432</f>
        <v>100</v>
      </c>
      <c r="AD3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90.30810512446044</v>
      </c>
    </row>
    <row r="37" spans="1:30" x14ac:dyDescent="0.25">
      <c r="A37" s="2" t="s">
        <v>35</v>
      </c>
      <c r="B37" s="2">
        <v>35</v>
      </c>
      <c r="C37">
        <f>'Rådata-K'!N36</f>
        <v>1</v>
      </c>
      <c r="D37" s="30">
        <f>'Rådata-K'!M36</f>
        <v>26.48046875</v>
      </c>
      <c r="E37" s="32">
        <f>'Rådata-K'!O36</f>
        <v>78.687342228633256</v>
      </c>
      <c r="F37" s="32">
        <f>'Rådata-K'!P36</f>
        <v>0.22286568279469465</v>
      </c>
      <c r="G37" s="32">
        <f>'Rådata-K'!Q36</f>
        <v>0.10479682248701497</v>
      </c>
      <c r="H37" s="32">
        <f>'Rådata-K'!R36</f>
        <v>0.12725328444851819</v>
      </c>
      <c r="I37" s="32">
        <f>'Rådata-K'!S36</f>
        <v>0.18333333333333335</v>
      </c>
      <c r="J37" s="32">
        <f>'Rådata-K'!T36</f>
        <v>0.90127305793712653</v>
      </c>
      <c r="K37" s="67">
        <f>'Rådata-K'!L36</f>
        <v>495100</v>
      </c>
      <c r="L37" s="18">
        <f>Tabell2[[#This Row],[NIBR11]]</f>
        <v>1</v>
      </c>
      <c r="M37" s="32">
        <f>IF(Tabell2[[#This Row],[ReisetidOslo]]&lt;=D$427,D$427,IF(Tabell2[[#This Row],[ReisetidOslo]]&gt;=D$428,D$428,Tabell2[[#This Row],[ReisetidOslo]]))</f>
        <v>54.622656249999999</v>
      </c>
      <c r="N37" s="32">
        <f>IF(Tabell2[[#This Row],[Beftettotal]]&lt;=E$427,E$427,IF(Tabell2[[#This Row],[Beftettotal]]&gt;=E$428,E$428,Tabell2[[#This Row],[Beftettotal]]))</f>
        <v>78.687342228633256</v>
      </c>
      <c r="O37" s="32">
        <f>IF(Tabell2[[#This Row],[Befvekst10]]&lt;=F$427,F$427,IF(Tabell2[[#This Row],[Befvekst10]]&gt;=F$428,F$428,Tabell2[[#This Row],[Befvekst10]]))</f>
        <v>0.17761328412400704</v>
      </c>
      <c r="P37" s="32">
        <f>IF(Tabell2[[#This Row],[Kvinneandel]]&lt;=G$427,G$427,IF(Tabell2[[#This Row],[Kvinneandel]]&gt;=G$428,G$428,Tabell2[[#This Row],[Kvinneandel]]))</f>
        <v>0.10479682248701497</v>
      </c>
      <c r="Q37" s="32">
        <f>IF(Tabell2[[#This Row],[Eldreandel]]&lt;=H$427,H$427,IF(Tabell2[[#This Row],[Eldreandel]]&gt;=H$428,H$428,Tabell2[[#This Row],[Eldreandel]]))</f>
        <v>0.13032022035982854</v>
      </c>
      <c r="R37" s="32">
        <f>IF(Tabell2[[#This Row],[Sysselsettingsvekst10]]&lt;=I$427,I$427,IF(Tabell2[[#This Row],[Sysselsettingsvekst10]]&gt;=I$428,I$428,Tabell2[[#This Row],[Sysselsettingsvekst10]]))</f>
        <v>0.17904192152607218</v>
      </c>
      <c r="S37" s="32">
        <f>IF(Tabell2[[#This Row],[Yrkesaktivandel]]&lt;=J$427,J$427,IF(Tabell2[[#This Row],[Yrkesaktivandel]]&gt;=J$428,J$428,Tabell2[[#This Row],[Yrkesaktivandel]]))</f>
        <v>0.90127305793712653</v>
      </c>
      <c r="T37" s="67">
        <f>IF(Tabell2[[#This Row],[Inntekt]]&lt;=K$427,K$427,IF(Tabell2[[#This Row],[Inntekt]]&gt;=K$428,K$428,Tabell2[[#This Row],[Inntekt]]))</f>
        <v>449160</v>
      </c>
      <c r="U37" s="10">
        <f>IF(Tabell2[[#This Row],[NIBR11-T]]&lt;=L$430,100,IF(Tabell2[[#This Row],[NIBR11-T]]&gt;=L$429,0,100*(L$429-Tabell2[[#This Row],[NIBR11-T]])/L$432))</f>
        <v>100</v>
      </c>
      <c r="V37" s="10">
        <f>(M$429-Tabell2[[#This Row],[ReisetidOslo-T]])*100/M$432</f>
        <v>100</v>
      </c>
      <c r="W37" s="10">
        <f>100-(N$429-Tabell2[[#This Row],[Beftettotal-T]])*100/N$432</f>
        <v>57.717901486639143</v>
      </c>
      <c r="X37" s="10">
        <f>100-(O$429-Tabell2[[#This Row],[Befvekst10-T]])*100/O$432</f>
        <v>100</v>
      </c>
      <c r="Y37" s="10">
        <f>100-(P$429-Tabell2[[#This Row],[Kvinneandel-T]])*100/P$432</f>
        <v>39.302885319103687</v>
      </c>
      <c r="Z37" s="10">
        <f>(Q$429-Tabell2[[#This Row],[Eldreandel-T]])*100/Q$432</f>
        <v>100</v>
      </c>
      <c r="AA37" s="10">
        <f>100-(R$429-Tabell2[[#This Row],[Sysselsettingsvekst10-T]])*100/R$432</f>
        <v>100</v>
      </c>
      <c r="AB37" s="10">
        <f>100-(S$429-Tabell2[[#This Row],[Yrkesaktivandel-T]])*100/S$432</f>
        <v>80.843762298753219</v>
      </c>
      <c r="AC37" s="10">
        <f>100-(T$429-Tabell2[[#This Row],[Inntekt-T]])*100/T$432</f>
        <v>100</v>
      </c>
      <c r="AD3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90.821310644494417</v>
      </c>
    </row>
    <row r="38" spans="1:30" x14ac:dyDescent="0.25">
      <c r="A38" s="2" t="s">
        <v>36</v>
      </c>
      <c r="B38" s="2">
        <v>36</v>
      </c>
      <c r="C38">
        <f>'Rådata-K'!N37</f>
        <v>1</v>
      </c>
      <c r="D38" s="30">
        <f>'Rådata-K'!M37</f>
        <v>30.13671875</v>
      </c>
      <c r="E38" s="32">
        <f>'Rådata-K'!O37</f>
        <v>139.03434071374818</v>
      </c>
      <c r="F38" s="32">
        <f>'Rådata-K'!P37</f>
        <v>0.35184472001848577</v>
      </c>
      <c r="G38" s="32">
        <f>'Rådata-K'!Q37</f>
        <v>0.13101817560252976</v>
      </c>
      <c r="H38" s="32">
        <f>'Rådata-K'!R37</f>
        <v>0.11705885704518261</v>
      </c>
      <c r="I38" s="32">
        <f>'Rådata-K'!S37</f>
        <v>0.27147629256618644</v>
      </c>
      <c r="J38" s="32">
        <f>'Rådata-K'!T37</f>
        <v>0.84605131622792407</v>
      </c>
      <c r="K38" s="67">
        <f>'Rådata-K'!L37</f>
        <v>443800</v>
      </c>
      <c r="L38" s="18">
        <f>Tabell2[[#This Row],[NIBR11]]</f>
        <v>1</v>
      </c>
      <c r="M38" s="32">
        <f>IF(Tabell2[[#This Row],[ReisetidOslo]]&lt;=D$427,D$427,IF(Tabell2[[#This Row],[ReisetidOslo]]&gt;=D$428,D$428,Tabell2[[#This Row],[ReisetidOslo]]))</f>
        <v>54.622656249999999</v>
      </c>
      <c r="N38" s="32">
        <f>IF(Tabell2[[#This Row],[Beftettotal]]&lt;=E$427,E$427,IF(Tabell2[[#This Row],[Beftettotal]]&gt;=E$428,E$428,Tabell2[[#This Row],[Beftettotal]]))</f>
        <v>135.41854576488009</v>
      </c>
      <c r="O38" s="32">
        <f>IF(Tabell2[[#This Row],[Befvekst10]]&lt;=F$427,F$427,IF(Tabell2[[#This Row],[Befvekst10]]&gt;=F$428,F$428,Tabell2[[#This Row],[Befvekst10]]))</f>
        <v>0.17761328412400704</v>
      </c>
      <c r="P38" s="32">
        <f>IF(Tabell2[[#This Row],[Kvinneandel]]&lt;=G$427,G$427,IF(Tabell2[[#This Row],[Kvinneandel]]&gt;=G$428,G$428,Tabell2[[#This Row],[Kvinneandel]]))</f>
        <v>0.12777681011054584</v>
      </c>
      <c r="Q38" s="32">
        <f>IF(Tabell2[[#This Row],[Eldreandel]]&lt;=H$427,H$427,IF(Tabell2[[#This Row],[Eldreandel]]&gt;=H$428,H$428,Tabell2[[#This Row],[Eldreandel]]))</f>
        <v>0.13032022035982854</v>
      </c>
      <c r="R38" s="32">
        <f>IF(Tabell2[[#This Row],[Sysselsettingsvekst10]]&lt;=I$427,I$427,IF(Tabell2[[#This Row],[Sysselsettingsvekst10]]&gt;=I$428,I$428,Tabell2[[#This Row],[Sysselsettingsvekst10]]))</f>
        <v>0.17904192152607218</v>
      </c>
      <c r="S38" s="32">
        <f>IF(Tabell2[[#This Row],[Yrkesaktivandel]]&lt;=J$427,J$427,IF(Tabell2[[#This Row],[Yrkesaktivandel]]&gt;=J$428,J$428,Tabell2[[#This Row],[Yrkesaktivandel]]))</f>
        <v>0.84605131622792407</v>
      </c>
      <c r="T38" s="67">
        <f>IF(Tabell2[[#This Row],[Inntekt]]&lt;=K$427,K$427,IF(Tabell2[[#This Row],[Inntekt]]&gt;=K$428,K$428,Tabell2[[#This Row],[Inntekt]]))</f>
        <v>443800</v>
      </c>
      <c r="U38" s="10">
        <f>IF(Tabell2[[#This Row],[NIBR11-T]]&lt;=L$430,100,IF(Tabell2[[#This Row],[NIBR11-T]]&gt;=L$429,0,100*(L$429-Tabell2[[#This Row],[NIBR11-T]])/L$432))</f>
        <v>100</v>
      </c>
      <c r="V38" s="10">
        <f>(M$429-Tabell2[[#This Row],[ReisetidOslo-T]])*100/M$432</f>
        <v>100</v>
      </c>
      <c r="W38" s="10">
        <f>100-(N$429-Tabell2[[#This Row],[Beftettotal-T]])*100/N$432</f>
        <v>100</v>
      </c>
      <c r="X38" s="10">
        <f>100-(O$429-Tabell2[[#This Row],[Befvekst10-T]])*100/O$432</f>
        <v>100</v>
      </c>
      <c r="Y38" s="10">
        <f>100-(P$429-Tabell2[[#This Row],[Kvinneandel-T]])*100/P$432</f>
        <v>100</v>
      </c>
      <c r="Z38" s="10">
        <f>(Q$429-Tabell2[[#This Row],[Eldreandel-T]])*100/Q$432</f>
        <v>100</v>
      </c>
      <c r="AA38" s="10">
        <f>100-(R$429-Tabell2[[#This Row],[Sysselsettingsvekst10-T]])*100/R$432</f>
        <v>100</v>
      </c>
      <c r="AB38" s="10">
        <f>100-(S$429-Tabell2[[#This Row],[Yrkesaktivandel-T]])*100/S$432</f>
        <v>38.011357413250373</v>
      </c>
      <c r="AC38" s="10">
        <f>100-(T$429-Tabell2[[#This Row],[Inntekt-T]])*100/T$432</f>
        <v>94.046428968121731</v>
      </c>
      <c r="AD3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93.205778638137218</v>
      </c>
    </row>
    <row r="39" spans="1:30" x14ac:dyDescent="0.25">
      <c r="A39" s="2" t="s">
        <v>37</v>
      </c>
      <c r="B39" s="2">
        <v>37</v>
      </c>
      <c r="C39">
        <f>'Rådata-K'!N38</f>
        <v>1</v>
      </c>
      <c r="D39" s="30">
        <f>'Rådata-K'!M38</f>
        <v>41.5546875</v>
      </c>
      <c r="E39" s="32">
        <f>'Rådata-K'!O38</f>
        <v>33.327057346826706</v>
      </c>
      <c r="F39" s="32">
        <f>'Rådata-K'!P38</f>
        <v>0.16587079422580819</v>
      </c>
      <c r="G39" s="32">
        <f>'Rådata-K'!Q38</f>
        <v>0.11892095475730897</v>
      </c>
      <c r="H39" s="32">
        <f>'Rådata-K'!R38</f>
        <v>0.13869403512075704</v>
      </c>
      <c r="I39" s="32">
        <f>'Rådata-K'!S38</f>
        <v>0.13299333071792852</v>
      </c>
      <c r="J39" s="32">
        <f>'Rådata-K'!T38</f>
        <v>0.8521182421751502</v>
      </c>
      <c r="K39" s="67">
        <f>'Rådata-K'!L38</f>
        <v>410800</v>
      </c>
      <c r="L39" s="18">
        <f>Tabell2[[#This Row],[NIBR11]]</f>
        <v>1</v>
      </c>
      <c r="M39" s="32">
        <f>IF(Tabell2[[#This Row],[ReisetidOslo]]&lt;=D$427,D$427,IF(Tabell2[[#This Row],[ReisetidOslo]]&gt;=D$428,D$428,Tabell2[[#This Row],[ReisetidOslo]]))</f>
        <v>54.622656249999999</v>
      </c>
      <c r="N39" s="32">
        <f>IF(Tabell2[[#This Row],[Beftettotal]]&lt;=E$427,E$427,IF(Tabell2[[#This Row],[Beftettotal]]&gt;=E$428,E$428,Tabell2[[#This Row],[Beftettotal]]))</f>
        <v>33.327057346826706</v>
      </c>
      <c r="O39" s="32">
        <f>IF(Tabell2[[#This Row],[Befvekst10]]&lt;=F$427,F$427,IF(Tabell2[[#This Row],[Befvekst10]]&gt;=F$428,F$428,Tabell2[[#This Row],[Befvekst10]]))</f>
        <v>0.16587079422580819</v>
      </c>
      <c r="P39" s="32">
        <f>IF(Tabell2[[#This Row],[Kvinneandel]]&lt;=G$427,G$427,IF(Tabell2[[#This Row],[Kvinneandel]]&gt;=G$428,G$428,Tabell2[[#This Row],[Kvinneandel]]))</f>
        <v>0.11892095475730897</v>
      </c>
      <c r="Q39" s="32">
        <f>IF(Tabell2[[#This Row],[Eldreandel]]&lt;=H$427,H$427,IF(Tabell2[[#This Row],[Eldreandel]]&gt;=H$428,H$428,Tabell2[[#This Row],[Eldreandel]]))</f>
        <v>0.13869403512075704</v>
      </c>
      <c r="R39" s="32">
        <f>IF(Tabell2[[#This Row],[Sysselsettingsvekst10]]&lt;=I$427,I$427,IF(Tabell2[[#This Row],[Sysselsettingsvekst10]]&gt;=I$428,I$428,Tabell2[[#This Row],[Sysselsettingsvekst10]]))</f>
        <v>0.13299333071792852</v>
      </c>
      <c r="S39" s="32">
        <f>IF(Tabell2[[#This Row],[Yrkesaktivandel]]&lt;=J$427,J$427,IF(Tabell2[[#This Row],[Yrkesaktivandel]]&gt;=J$428,J$428,Tabell2[[#This Row],[Yrkesaktivandel]]))</f>
        <v>0.8521182421751502</v>
      </c>
      <c r="T39" s="67">
        <f>IF(Tabell2[[#This Row],[Inntekt]]&lt;=K$427,K$427,IF(Tabell2[[#This Row],[Inntekt]]&gt;=K$428,K$428,Tabell2[[#This Row],[Inntekt]]))</f>
        <v>410800</v>
      </c>
      <c r="U39" s="10">
        <f>IF(Tabell2[[#This Row],[NIBR11-T]]&lt;=L$430,100,IF(Tabell2[[#This Row],[NIBR11-T]]&gt;=L$429,0,100*(L$429-Tabell2[[#This Row],[NIBR11-T]])/L$432))</f>
        <v>100</v>
      </c>
      <c r="V39" s="10">
        <f>(M$429-Tabell2[[#This Row],[ReisetidOslo-T]])*100/M$432</f>
        <v>100</v>
      </c>
      <c r="W39" s="10">
        <f>100-(N$429-Tabell2[[#This Row],[Beftettotal-T]])*100/N$432</f>
        <v>23.910615294636344</v>
      </c>
      <c r="X39" s="10">
        <f>100-(O$429-Tabell2[[#This Row],[Befvekst10-T]])*100/O$432</f>
        <v>94.941631202572211</v>
      </c>
      <c r="Y39" s="10">
        <f>100-(P$429-Tabell2[[#This Row],[Kvinneandel-T]])*100/P$432</f>
        <v>76.609000980381865</v>
      </c>
      <c r="Z39" s="10">
        <f>(Q$429-Tabell2[[#This Row],[Eldreandel-T]])*100/Q$432</f>
        <v>90.96790065376166</v>
      </c>
      <c r="AA39" s="10">
        <f>100-(R$429-Tabell2[[#This Row],[Sysselsettingsvekst10-T]])*100/R$432</f>
        <v>83.890170535068449</v>
      </c>
      <c r="AB39" s="10">
        <f>100-(S$429-Tabell2[[#This Row],[Yrkesaktivandel-T]])*100/S$432</f>
        <v>42.717131272220271</v>
      </c>
      <c r="AC39" s="10">
        <f>100-(T$429-Tabell2[[#This Row],[Inntekt-T]])*100/T$432</f>
        <v>57.391980450960794</v>
      </c>
      <c r="AD3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78.158161077510201</v>
      </c>
    </row>
    <row r="40" spans="1:30" x14ac:dyDescent="0.25">
      <c r="A40" s="2" t="s">
        <v>38</v>
      </c>
      <c r="B40" s="2">
        <v>38</v>
      </c>
      <c r="C40">
        <f>'Rådata-K'!N39</f>
        <v>1</v>
      </c>
      <c r="D40" s="30">
        <f>'Rådata-K'!M39</f>
        <v>48.9921875</v>
      </c>
      <c r="E40" s="32">
        <f>'Rådata-K'!O39</f>
        <v>53.484194615435165</v>
      </c>
      <c r="F40" s="32">
        <f>'Rådata-K'!P39</f>
        <v>0.26280128271438907</v>
      </c>
      <c r="G40" s="32">
        <f>'Rådata-K'!Q39</f>
        <v>0.12779029285275445</v>
      </c>
      <c r="H40" s="32">
        <f>'Rådata-K'!R39</f>
        <v>0.13377022322342821</v>
      </c>
      <c r="I40" s="32">
        <f>'Rådata-K'!S39</f>
        <v>6.5438373570521069E-2</v>
      </c>
      <c r="J40" s="32">
        <f>'Rådata-K'!T39</f>
        <v>0.829895840518728</v>
      </c>
      <c r="K40" s="67">
        <f>'Rådata-K'!L39</f>
        <v>408500</v>
      </c>
      <c r="L40" s="18">
        <f>Tabell2[[#This Row],[NIBR11]]</f>
        <v>1</v>
      </c>
      <c r="M40" s="32">
        <f>IF(Tabell2[[#This Row],[ReisetidOslo]]&lt;=D$427,D$427,IF(Tabell2[[#This Row],[ReisetidOslo]]&gt;=D$428,D$428,Tabell2[[#This Row],[ReisetidOslo]]))</f>
        <v>54.622656249999999</v>
      </c>
      <c r="N40" s="32">
        <f>IF(Tabell2[[#This Row],[Beftettotal]]&lt;=E$427,E$427,IF(Tabell2[[#This Row],[Beftettotal]]&gt;=E$428,E$428,Tabell2[[#This Row],[Beftettotal]]))</f>
        <v>53.484194615435165</v>
      </c>
      <c r="O40" s="32">
        <f>IF(Tabell2[[#This Row],[Befvekst10]]&lt;=F$427,F$427,IF(Tabell2[[#This Row],[Befvekst10]]&gt;=F$428,F$428,Tabell2[[#This Row],[Befvekst10]]))</f>
        <v>0.17761328412400704</v>
      </c>
      <c r="P40" s="32">
        <f>IF(Tabell2[[#This Row],[Kvinneandel]]&lt;=G$427,G$427,IF(Tabell2[[#This Row],[Kvinneandel]]&gt;=G$428,G$428,Tabell2[[#This Row],[Kvinneandel]]))</f>
        <v>0.12777681011054584</v>
      </c>
      <c r="Q40" s="32">
        <f>IF(Tabell2[[#This Row],[Eldreandel]]&lt;=H$427,H$427,IF(Tabell2[[#This Row],[Eldreandel]]&gt;=H$428,H$428,Tabell2[[#This Row],[Eldreandel]]))</f>
        <v>0.13377022322342821</v>
      </c>
      <c r="R40" s="32">
        <f>IF(Tabell2[[#This Row],[Sysselsettingsvekst10]]&lt;=I$427,I$427,IF(Tabell2[[#This Row],[Sysselsettingsvekst10]]&gt;=I$428,I$428,Tabell2[[#This Row],[Sysselsettingsvekst10]]))</f>
        <v>6.5438373570521069E-2</v>
      </c>
      <c r="S40" s="32">
        <f>IF(Tabell2[[#This Row],[Yrkesaktivandel]]&lt;=J$427,J$427,IF(Tabell2[[#This Row],[Yrkesaktivandel]]&gt;=J$428,J$428,Tabell2[[#This Row],[Yrkesaktivandel]]))</f>
        <v>0.829895840518728</v>
      </c>
      <c r="T40" s="67">
        <f>IF(Tabell2[[#This Row],[Inntekt]]&lt;=K$427,K$427,IF(Tabell2[[#This Row],[Inntekt]]&gt;=K$428,K$428,Tabell2[[#This Row],[Inntekt]]))</f>
        <v>408500</v>
      </c>
      <c r="U40" s="10">
        <f>IF(Tabell2[[#This Row],[NIBR11-T]]&lt;=L$430,100,IF(Tabell2[[#This Row],[NIBR11-T]]&gt;=L$429,0,100*(L$429-Tabell2[[#This Row],[NIBR11-T]])/L$432))</f>
        <v>100</v>
      </c>
      <c r="V40" s="10">
        <f>(M$429-Tabell2[[#This Row],[ReisetidOslo-T]])*100/M$432</f>
        <v>100</v>
      </c>
      <c r="W40" s="10">
        <f>100-(N$429-Tabell2[[#This Row],[Beftettotal-T]])*100/N$432</f>
        <v>38.933847847672112</v>
      </c>
      <c r="X40" s="10">
        <f>100-(O$429-Tabell2[[#This Row],[Befvekst10-T]])*100/O$432</f>
        <v>100</v>
      </c>
      <c r="Y40" s="10">
        <f>100-(P$429-Tabell2[[#This Row],[Kvinneandel-T]])*100/P$432</f>
        <v>100</v>
      </c>
      <c r="Z40" s="10">
        <f>(Q$429-Tabell2[[#This Row],[Eldreandel-T]])*100/Q$432</f>
        <v>96.278784580448033</v>
      </c>
      <c r="AA40" s="10">
        <f>100-(R$429-Tabell2[[#This Row],[Sysselsettingsvekst10-T]])*100/R$432</f>
        <v>60.256464919846302</v>
      </c>
      <c r="AB40" s="10">
        <f>100-(S$429-Tabell2[[#This Row],[Yrkesaktivandel-T]])*100/S$432</f>
        <v>25.480461876884547</v>
      </c>
      <c r="AC40" s="10">
        <f>100-(T$429-Tabell2[[#This Row],[Inntekt-T]])*100/T$432</f>
        <v>54.837276463401089</v>
      </c>
      <c r="AD4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77.764744339802817</v>
      </c>
    </row>
    <row r="41" spans="1:30" x14ac:dyDescent="0.25">
      <c r="A41" s="2" t="s">
        <v>39</v>
      </c>
      <c r="B41" s="2">
        <v>39</v>
      </c>
      <c r="C41">
        <f>'Rådata-K'!N40</f>
        <v>1</v>
      </c>
      <c r="D41" s="30">
        <f>'Rådata-K'!M40</f>
        <v>40.5</v>
      </c>
      <c r="E41" s="32">
        <f>'Rådata-K'!O40</f>
        <v>37.118390568638375</v>
      </c>
      <c r="F41" s="32">
        <f>'Rådata-K'!P40</f>
        <v>0.20130979498861046</v>
      </c>
      <c r="G41" s="32">
        <f>'Rådata-K'!Q40</f>
        <v>0.12459508572331517</v>
      </c>
      <c r="H41" s="32">
        <f>'Rådata-K'!R40</f>
        <v>0.11803744963261437</v>
      </c>
      <c r="I41" s="32">
        <f>'Rådata-K'!S40</f>
        <v>0.2598558711318355</v>
      </c>
      <c r="J41" s="32">
        <f>'Rådata-K'!T40</f>
        <v>0.85376989303417683</v>
      </c>
      <c r="K41" s="67">
        <f>'Rådata-K'!L40</f>
        <v>424200</v>
      </c>
      <c r="L41" s="18">
        <f>Tabell2[[#This Row],[NIBR11]]</f>
        <v>1</v>
      </c>
      <c r="M41" s="32">
        <f>IF(Tabell2[[#This Row],[ReisetidOslo]]&lt;=D$427,D$427,IF(Tabell2[[#This Row],[ReisetidOslo]]&gt;=D$428,D$428,Tabell2[[#This Row],[ReisetidOslo]]))</f>
        <v>54.622656249999999</v>
      </c>
      <c r="N41" s="32">
        <f>IF(Tabell2[[#This Row],[Beftettotal]]&lt;=E$427,E$427,IF(Tabell2[[#This Row],[Beftettotal]]&gt;=E$428,E$428,Tabell2[[#This Row],[Beftettotal]]))</f>
        <v>37.118390568638375</v>
      </c>
      <c r="O41" s="32">
        <f>IF(Tabell2[[#This Row],[Befvekst10]]&lt;=F$427,F$427,IF(Tabell2[[#This Row],[Befvekst10]]&gt;=F$428,F$428,Tabell2[[#This Row],[Befvekst10]]))</f>
        <v>0.17761328412400704</v>
      </c>
      <c r="P41" s="32">
        <f>IF(Tabell2[[#This Row],[Kvinneandel]]&lt;=G$427,G$427,IF(Tabell2[[#This Row],[Kvinneandel]]&gt;=G$428,G$428,Tabell2[[#This Row],[Kvinneandel]]))</f>
        <v>0.12459508572331517</v>
      </c>
      <c r="Q41" s="32">
        <f>IF(Tabell2[[#This Row],[Eldreandel]]&lt;=H$427,H$427,IF(Tabell2[[#This Row],[Eldreandel]]&gt;=H$428,H$428,Tabell2[[#This Row],[Eldreandel]]))</f>
        <v>0.13032022035982854</v>
      </c>
      <c r="R41" s="32">
        <f>IF(Tabell2[[#This Row],[Sysselsettingsvekst10]]&lt;=I$427,I$427,IF(Tabell2[[#This Row],[Sysselsettingsvekst10]]&gt;=I$428,I$428,Tabell2[[#This Row],[Sysselsettingsvekst10]]))</f>
        <v>0.17904192152607218</v>
      </c>
      <c r="S41" s="32">
        <f>IF(Tabell2[[#This Row],[Yrkesaktivandel]]&lt;=J$427,J$427,IF(Tabell2[[#This Row],[Yrkesaktivandel]]&gt;=J$428,J$428,Tabell2[[#This Row],[Yrkesaktivandel]]))</f>
        <v>0.85376989303417683</v>
      </c>
      <c r="T41" s="67">
        <f>IF(Tabell2[[#This Row],[Inntekt]]&lt;=K$427,K$427,IF(Tabell2[[#This Row],[Inntekt]]&gt;=K$428,K$428,Tabell2[[#This Row],[Inntekt]]))</f>
        <v>424200</v>
      </c>
      <c r="U41" s="10">
        <f>IF(Tabell2[[#This Row],[NIBR11-T]]&lt;=L$430,100,IF(Tabell2[[#This Row],[NIBR11-T]]&gt;=L$429,0,100*(L$429-Tabell2[[#This Row],[NIBR11-T]])/L$432))</f>
        <v>100</v>
      </c>
      <c r="V41" s="10">
        <f>(M$429-Tabell2[[#This Row],[ReisetidOslo-T]])*100/M$432</f>
        <v>100</v>
      </c>
      <c r="W41" s="10">
        <f>100-(N$429-Tabell2[[#This Row],[Beftettotal-T]])*100/N$432</f>
        <v>26.736318166940052</v>
      </c>
      <c r="X41" s="10">
        <f>100-(O$429-Tabell2[[#This Row],[Befvekst10-T]])*100/O$432</f>
        <v>100</v>
      </c>
      <c r="Y41" s="10">
        <f>100-(P$429-Tabell2[[#This Row],[Kvinneandel-T]])*100/P$432</f>
        <v>91.596101217348192</v>
      </c>
      <c r="Z41" s="10">
        <f>(Q$429-Tabell2[[#This Row],[Eldreandel-T]])*100/Q$432</f>
        <v>100</v>
      </c>
      <c r="AA41" s="10">
        <f>100-(R$429-Tabell2[[#This Row],[Sysselsettingsvekst10-T]])*100/R$432</f>
        <v>100</v>
      </c>
      <c r="AB41" s="10">
        <f>100-(S$429-Tabell2[[#This Row],[Yrkesaktivandel-T]])*100/S$432</f>
        <v>43.998224119596507</v>
      </c>
      <c r="AC41" s="10">
        <f>100-(T$429-Tabell2[[#This Row],[Inntekt-T]])*100/T$432</f>
        <v>72.275908030656453</v>
      </c>
      <c r="AD4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83.880850092586712</v>
      </c>
    </row>
    <row r="42" spans="1:30" x14ac:dyDescent="0.25">
      <c r="A42" s="2" t="s">
        <v>40</v>
      </c>
      <c r="B42" s="2">
        <v>40</v>
      </c>
      <c r="C42">
        <f>'Rådata-K'!N41</f>
        <v>1</v>
      </c>
      <c r="D42" s="30">
        <f>'Rådata-K'!M41</f>
        <v>54.6015625</v>
      </c>
      <c r="E42" s="32">
        <f>'Rådata-K'!O41</f>
        <v>10.211959573273441</v>
      </c>
      <c r="F42" s="32">
        <f>'Rådata-K'!P41</f>
        <v>0.12181958365458745</v>
      </c>
      <c r="G42" s="32">
        <f>'Rådata-K'!Q41</f>
        <v>0.10618556701030928</v>
      </c>
      <c r="H42" s="32">
        <f>'Rådata-K'!R41</f>
        <v>0.17422680412371133</v>
      </c>
      <c r="I42" s="32">
        <f>'Rådata-K'!S41</f>
        <v>-8.2579185520362031E-2</v>
      </c>
      <c r="J42" s="32">
        <f>'Rådata-K'!T41</f>
        <v>0.83495736906211937</v>
      </c>
      <c r="K42" s="67">
        <f>'Rådata-K'!L41</f>
        <v>383800</v>
      </c>
      <c r="L42" s="18">
        <f>Tabell2[[#This Row],[NIBR11]]</f>
        <v>1</v>
      </c>
      <c r="M42" s="32">
        <f>IF(Tabell2[[#This Row],[ReisetidOslo]]&lt;=D$427,D$427,IF(Tabell2[[#This Row],[ReisetidOslo]]&gt;=D$428,D$428,Tabell2[[#This Row],[ReisetidOslo]]))</f>
        <v>54.622656249999999</v>
      </c>
      <c r="N42" s="32">
        <f>IF(Tabell2[[#This Row],[Beftettotal]]&lt;=E$427,E$427,IF(Tabell2[[#This Row],[Beftettotal]]&gt;=E$428,E$428,Tabell2[[#This Row],[Beftettotal]]))</f>
        <v>10.211959573273441</v>
      </c>
      <c r="O42" s="32">
        <f>IF(Tabell2[[#This Row],[Befvekst10]]&lt;=F$427,F$427,IF(Tabell2[[#This Row],[Befvekst10]]&gt;=F$428,F$428,Tabell2[[#This Row],[Befvekst10]]))</f>
        <v>0.12181958365458745</v>
      </c>
      <c r="P42" s="32">
        <f>IF(Tabell2[[#This Row],[Kvinneandel]]&lt;=G$427,G$427,IF(Tabell2[[#This Row],[Kvinneandel]]&gt;=G$428,G$428,Tabell2[[#This Row],[Kvinneandel]]))</f>
        <v>0.10618556701030928</v>
      </c>
      <c r="Q42" s="32">
        <f>IF(Tabell2[[#This Row],[Eldreandel]]&lt;=H$427,H$427,IF(Tabell2[[#This Row],[Eldreandel]]&gt;=H$428,H$428,Tabell2[[#This Row],[Eldreandel]]))</f>
        <v>0.17422680412371133</v>
      </c>
      <c r="R42" s="32">
        <f>IF(Tabell2[[#This Row],[Sysselsettingsvekst10]]&lt;=I$427,I$427,IF(Tabell2[[#This Row],[Sysselsettingsvekst10]]&gt;=I$428,I$428,Tabell2[[#This Row],[Sysselsettingsvekst10]]))</f>
        <v>-8.2579185520362031E-2</v>
      </c>
      <c r="S42" s="32">
        <f>IF(Tabell2[[#This Row],[Yrkesaktivandel]]&lt;=J$427,J$427,IF(Tabell2[[#This Row],[Yrkesaktivandel]]&gt;=J$428,J$428,Tabell2[[#This Row],[Yrkesaktivandel]]))</f>
        <v>0.83495736906211937</v>
      </c>
      <c r="T42" s="67">
        <f>IF(Tabell2[[#This Row],[Inntekt]]&lt;=K$427,K$427,IF(Tabell2[[#This Row],[Inntekt]]&gt;=K$428,K$428,Tabell2[[#This Row],[Inntekt]]))</f>
        <v>383800</v>
      </c>
      <c r="U42" s="10">
        <f>IF(Tabell2[[#This Row],[NIBR11-T]]&lt;=L$430,100,IF(Tabell2[[#This Row],[NIBR11-T]]&gt;=L$429,0,100*(L$429-Tabell2[[#This Row],[NIBR11-T]])/L$432))</f>
        <v>100</v>
      </c>
      <c r="V42" s="10">
        <f>(M$429-Tabell2[[#This Row],[ReisetidOslo-T]])*100/M$432</f>
        <v>100</v>
      </c>
      <c r="W42" s="10">
        <f>100-(N$429-Tabell2[[#This Row],[Beftettotal-T]])*100/N$432</f>
        <v>6.6827974398134273</v>
      </c>
      <c r="X42" s="10">
        <f>100-(O$429-Tabell2[[#This Row],[Befvekst10-T]])*100/O$432</f>
        <v>75.965479553801117</v>
      </c>
      <c r="Y42" s="10">
        <f>100-(P$429-Tabell2[[#This Row],[Kvinneandel-T]])*100/P$432</f>
        <v>42.970980662486198</v>
      </c>
      <c r="Z42" s="10">
        <f>(Q$429-Tabell2[[#This Row],[Eldreandel-T]])*100/Q$432</f>
        <v>52.641820026915354</v>
      </c>
      <c r="AA42" s="10">
        <f>100-(R$429-Tabell2[[#This Row],[Sysselsettingsvekst10-T]])*100/R$432</f>
        <v>8.4733898480278071</v>
      </c>
      <c r="AB42" s="10">
        <f>100-(S$429-Tabell2[[#This Row],[Yrkesaktivandel-T]])*100/S$432</f>
        <v>29.406405412887509</v>
      </c>
      <c r="AC42" s="10">
        <f>100-(T$429-Tabell2[[#This Row],[Inntekt-T]])*100/T$432</f>
        <v>27.401977118738202</v>
      </c>
      <c r="AD4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57.170192927176998</v>
      </c>
    </row>
    <row r="43" spans="1:30" x14ac:dyDescent="0.25">
      <c r="A43" s="2" t="s">
        <v>41</v>
      </c>
      <c r="B43" s="2">
        <v>41</v>
      </c>
      <c r="C43">
        <f>'Rådata-K'!N42</f>
        <v>1</v>
      </c>
      <c r="D43" s="30">
        <f>'Rådata-K'!M42</f>
        <v>1.3920898438</v>
      </c>
      <c r="E43" s="32">
        <f>'Rådata-K'!O42</f>
        <v>1468.3410777599156</v>
      </c>
      <c r="F43" s="32">
        <f>'Rådata-K'!P42</f>
        <v>0.21534513148517087</v>
      </c>
      <c r="G43" s="32">
        <f>'Rådata-K'!Q42</f>
        <v>0.18400501530538022</v>
      </c>
      <c r="H43" s="32">
        <f>'Rådata-K'!R42</f>
        <v>0.10725614502391419</v>
      </c>
      <c r="I43" s="32">
        <f>'Rådata-K'!S42</f>
        <v>0.12624312999007214</v>
      </c>
      <c r="J43" s="32">
        <f>'Rådata-K'!T42</f>
        <v>0.79597912920437464</v>
      </c>
      <c r="K43" s="67">
        <f>'Rådata-K'!L42</f>
        <v>504200</v>
      </c>
      <c r="L43" s="18">
        <f>Tabell2[[#This Row],[NIBR11]]</f>
        <v>1</v>
      </c>
      <c r="M43" s="32">
        <f>IF(Tabell2[[#This Row],[ReisetidOslo]]&lt;=D$427,D$427,IF(Tabell2[[#This Row],[ReisetidOslo]]&gt;=D$428,D$428,Tabell2[[#This Row],[ReisetidOslo]]))</f>
        <v>54.622656249999999</v>
      </c>
      <c r="N43" s="32">
        <f>IF(Tabell2[[#This Row],[Beftettotal]]&lt;=E$427,E$427,IF(Tabell2[[#This Row],[Beftettotal]]&gt;=E$428,E$428,Tabell2[[#This Row],[Beftettotal]]))</f>
        <v>135.41854576488009</v>
      </c>
      <c r="O43" s="32">
        <f>IF(Tabell2[[#This Row],[Befvekst10]]&lt;=F$427,F$427,IF(Tabell2[[#This Row],[Befvekst10]]&gt;=F$428,F$428,Tabell2[[#This Row],[Befvekst10]]))</f>
        <v>0.17761328412400704</v>
      </c>
      <c r="P43" s="32">
        <f>IF(Tabell2[[#This Row],[Kvinneandel]]&lt;=G$427,G$427,IF(Tabell2[[#This Row],[Kvinneandel]]&gt;=G$428,G$428,Tabell2[[#This Row],[Kvinneandel]]))</f>
        <v>0.12777681011054584</v>
      </c>
      <c r="Q43" s="32">
        <f>IF(Tabell2[[#This Row],[Eldreandel]]&lt;=H$427,H$427,IF(Tabell2[[#This Row],[Eldreandel]]&gt;=H$428,H$428,Tabell2[[#This Row],[Eldreandel]]))</f>
        <v>0.13032022035982854</v>
      </c>
      <c r="R43" s="32">
        <f>IF(Tabell2[[#This Row],[Sysselsettingsvekst10]]&lt;=I$427,I$427,IF(Tabell2[[#This Row],[Sysselsettingsvekst10]]&gt;=I$428,I$428,Tabell2[[#This Row],[Sysselsettingsvekst10]]))</f>
        <v>0.12624312999007214</v>
      </c>
      <c r="S43" s="32">
        <f>IF(Tabell2[[#This Row],[Yrkesaktivandel]]&lt;=J$427,J$427,IF(Tabell2[[#This Row],[Yrkesaktivandel]]&gt;=J$428,J$428,Tabell2[[#This Row],[Yrkesaktivandel]]))</f>
        <v>0.7970451171433347</v>
      </c>
      <c r="T43" s="67">
        <f>IF(Tabell2[[#This Row],[Inntekt]]&lt;=K$427,K$427,IF(Tabell2[[#This Row],[Inntekt]]&gt;=K$428,K$428,Tabell2[[#This Row],[Inntekt]]))</f>
        <v>449160</v>
      </c>
      <c r="U43" s="10">
        <f>IF(Tabell2[[#This Row],[NIBR11-T]]&lt;=L$430,100,IF(Tabell2[[#This Row],[NIBR11-T]]&gt;=L$429,0,100*(L$429-Tabell2[[#This Row],[NIBR11-T]])/L$432))</f>
        <v>100</v>
      </c>
      <c r="V43" s="10">
        <f>(M$429-Tabell2[[#This Row],[ReisetidOslo-T]])*100/M$432</f>
        <v>100</v>
      </c>
      <c r="W43" s="10">
        <f>100-(N$429-Tabell2[[#This Row],[Beftettotal-T]])*100/N$432</f>
        <v>100</v>
      </c>
      <c r="X43" s="10">
        <f>100-(O$429-Tabell2[[#This Row],[Befvekst10-T]])*100/O$432</f>
        <v>100</v>
      </c>
      <c r="Y43" s="10">
        <f>100-(P$429-Tabell2[[#This Row],[Kvinneandel-T]])*100/P$432</f>
        <v>100</v>
      </c>
      <c r="Z43" s="10">
        <f>(Q$429-Tabell2[[#This Row],[Eldreandel-T]])*100/Q$432</f>
        <v>100</v>
      </c>
      <c r="AA43" s="10">
        <f>100-(R$429-Tabell2[[#This Row],[Sysselsettingsvekst10-T]])*100/R$432</f>
        <v>81.528652393657893</v>
      </c>
      <c r="AB43" s="10">
        <f>100-(S$429-Tabell2[[#This Row],[Yrkesaktivandel-T]])*100/S$432</f>
        <v>0</v>
      </c>
      <c r="AC43" s="10">
        <f>100-(T$429-Tabell2[[#This Row],[Inntekt-T]])*100/T$432</f>
        <v>100</v>
      </c>
      <c r="AD4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88.152865239365795</v>
      </c>
    </row>
    <row r="44" spans="1:30" x14ac:dyDescent="0.25">
      <c r="A44" s="2" t="s">
        <v>42</v>
      </c>
      <c r="B44" s="2">
        <v>42</v>
      </c>
      <c r="C44">
        <f>'Rådata-K'!N43</f>
        <v>5</v>
      </c>
      <c r="D44" s="30">
        <f>'Rådata-K'!M43</f>
        <v>71.796875</v>
      </c>
      <c r="E44" s="32">
        <f>'Rådata-K'!O43</f>
        <v>17.229002846254041</v>
      </c>
      <c r="F44" s="32">
        <f>'Rådata-K'!P43</f>
        <v>3.602924112323036E-2</v>
      </c>
      <c r="G44" s="32">
        <f>'Rådata-K'!Q43</f>
        <v>0.10074480595844766</v>
      </c>
      <c r="H44" s="32">
        <f>'Rådata-K'!R43</f>
        <v>0.19588956711653693</v>
      </c>
      <c r="I44" s="32">
        <f>'Rådata-K'!S43</f>
        <v>-3.0017452006980805E-2</v>
      </c>
      <c r="J44" s="32">
        <f>'Rådata-K'!T43</f>
        <v>0.7635081446166071</v>
      </c>
      <c r="K44" s="67">
        <f>'Rådata-K'!L43</f>
        <v>381500</v>
      </c>
      <c r="L44" s="18">
        <f>Tabell2[[#This Row],[NIBR11]]</f>
        <v>5</v>
      </c>
      <c r="M44" s="32">
        <f>IF(Tabell2[[#This Row],[ReisetidOslo]]&lt;=D$427,D$427,IF(Tabell2[[#This Row],[ReisetidOslo]]&gt;=D$428,D$428,Tabell2[[#This Row],[ReisetidOslo]]))</f>
        <v>71.796875</v>
      </c>
      <c r="N44" s="32">
        <f>IF(Tabell2[[#This Row],[Beftettotal]]&lt;=E$427,E$427,IF(Tabell2[[#This Row],[Beftettotal]]&gt;=E$428,E$428,Tabell2[[#This Row],[Beftettotal]]))</f>
        <v>17.229002846254041</v>
      </c>
      <c r="O44" s="32">
        <f>IF(Tabell2[[#This Row],[Befvekst10]]&lt;=F$427,F$427,IF(Tabell2[[#This Row],[Befvekst10]]&gt;=F$428,F$428,Tabell2[[#This Row],[Befvekst10]]))</f>
        <v>3.602924112323036E-2</v>
      </c>
      <c r="P44" s="32">
        <f>IF(Tabell2[[#This Row],[Kvinneandel]]&lt;=G$427,G$427,IF(Tabell2[[#This Row],[Kvinneandel]]&gt;=G$428,G$428,Tabell2[[#This Row],[Kvinneandel]]))</f>
        <v>0.10074480595844766</v>
      </c>
      <c r="Q44" s="32">
        <f>IF(Tabell2[[#This Row],[Eldreandel]]&lt;=H$427,H$427,IF(Tabell2[[#This Row],[Eldreandel]]&gt;=H$428,H$428,Tabell2[[#This Row],[Eldreandel]]))</f>
        <v>0.19588956711653693</v>
      </c>
      <c r="R44" s="32">
        <f>IF(Tabell2[[#This Row],[Sysselsettingsvekst10]]&lt;=I$427,I$427,IF(Tabell2[[#This Row],[Sysselsettingsvekst10]]&gt;=I$428,I$428,Tabell2[[#This Row],[Sysselsettingsvekst10]]))</f>
        <v>-3.0017452006980805E-2</v>
      </c>
      <c r="S44" s="32">
        <f>IF(Tabell2[[#This Row],[Yrkesaktivandel]]&lt;=J$427,J$427,IF(Tabell2[[#This Row],[Yrkesaktivandel]]&gt;=J$428,J$428,Tabell2[[#This Row],[Yrkesaktivandel]]))</f>
        <v>0.7970451171433347</v>
      </c>
      <c r="T44" s="67">
        <f>IF(Tabell2[[#This Row],[Inntekt]]&lt;=K$427,K$427,IF(Tabell2[[#This Row],[Inntekt]]&gt;=K$428,K$428,Tabell2[[#This Row],[Inntekt]]))</f>
        <v>381500</v>
      </c>
      <c r="U44" s="10">
        <f>IF(Tabell2[[#This Row],[NIBR11-T]]&lt;=L$430,100,IF(Tabell2[[#This Row],[NIBR11-T]]&gt;=L$429,0,100*(L$429-Tabell2[[#This Row],[NIBR11-T]])/L$432))</f>
        <v>60</v>
      </c>
      <c r="V44" s="10">
        <f>(M$429-Tabell2[[#This Row],[ReisetidOslo-T]])*100/M$432</f>
        <v>92.600782904015162</v>
      </c>
      <c r="W44" s="10">
        <f>100-(N$429-Tabell2[[#This Row],[Beftettotal-T]])*100/N$432</f>
        <v>11.912640920061762</v>
      </c>
      <c r="X44" s="10">
        <f>100-(O$429-Tabell2[[#This Row],[Befvekst10-T]])*100/O$432</f>
        <v>39.009161469352726</v>
      </c>
      <c r="Y44" s="10">
        <f>100-(P$429-Tabell2[[#This Row],[Kvinneandel-T]])*100/P$432</f>
        <v>28.600281124857062</v>
      </c>
      <c r="Z44" s="10">
        <f>(Q$429-Tabell2[[#This Row],[Eldreandel-T]])*100/Q$432</f>
        <v>29.27609806490706</v>
      </c>
      <c r="AA44" s="10">
        <f>100-(R$429-Tabell2[[#This Row],[Sysselsettingsvekst10-T]])*100/R$432</f>
        <v>26.861804095266834</v>
      </c>
      <c r="AB44" s="10">
        <f>100-(S$429-Tabell2[[#This Row],[Yrkesaktivandel-T]])*100/S$432</f>
        <v>0</v>
      </c>
      <c r="AC44" s="10">
        <f>100-(T$429-Tabell2[[#This Row],[Inntekt-T]])*100/T$432</f>
        <v>24.847273131178497</v>
      </c>
      <c r="AD4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38.317901358410978</v>
      </c>
    </row>
    <row r="45" spans="1:30" x14ac:dyDescent="0.25">
      <c r="A45" s="2" t="s">
        <v>43</v>
      </c>
      <c r="B45" s="2">
        <v>43</v>
      </c>
      <c r="C45">
        <f>'Rådata-K'!N44</f>
        <v>4</v>
      </c>
      <c r="D45" s="30">
        <f>'Rådata-K'!M44</f>
        <v>83.640625</v>
      </c>
      <c r="E45" s="32">
        <f>'Rådata-K'!O44</f>
        <v>87.188693223912921</v>
      </c>
      <c r="F45" s="32">
        <f>'Rådata-K'!P44</f>
        <v>9.6348848041850399E-2</v>
      </c>
      <c r="G45" s="32">
        <f>'Rådata-K'!Q44</f>
        <v>0.1191581149094712</v>
      </c>
      <c r="H45" s="32">
        <f>'Rådata-K'!R44</f>
        <v>0.18694032289692136</v>
      </c>
      <c r="I45" s="32">
        <f>'Rådata-K'!S44</f>
        <v>8.9120631341600864E-2</v>
      </c>
      <c r="J45" s="32">
        <f>'Rådata-K'!T44</f>
        <v>0.83521431828545367</v>
      </c>
      <c r="K45" s="67">
        <f>'Rådata-K'!L44</f>
        <v>420700</v>
      </c>
      <c r="L45" s="18">
        <f>Tabell2[[#This Row],[NIBR11]]</f>
        <v>4</v>
      </c>
      <c r="M45" s="32">
        <f>IF(Tabell2[[#This Row],[ReisetidOslo]]&lt;=D$427,D$427,IF(Tabell2[[#This Row],[ReisetidOslo]]&gt;=D$428,D$428,Tabell2[[#This Row],[ReisetidOslo]]))</f>
        <v>83.640625</v>
      </c>
      <c r="N45" s="32">
        <f>IF(Tabell2[[#This Row],[Beftettotal]]&lt;=E$427,E$427,IF(Tabell2[[#This Row],[Beftettotal]]&gt;=E$428,E$428,Tabell2[[#This Row],[Beftettotal]]))</f>
        <v>87.188693223912921</v>
      </c>
      <c r="O45" s="32">
        <f>IF(Tabell2[[#This Row],[Befvekst10]]&lt;=F$427,F$427,IF(Tabell2[[#This Row],[Befvekst10]]&gt;=F$428,F$428,Tabell2[[#This Row],[Befvekst10]]))</f>
        <v>9.6348848041850399E-2</v>
      </c>
      <c r="P45" s="32">
        <f>IF(Tabell2[[#This Row],[Kvinneandel]]&lt;=G$427,G$427,IF(Tabell2[[#This Row],[Kvinneandel]]&gt;=G$428,G$428,Tabell2[[#This Row],[Kvinneandel]]))</f>
        <v>0.1191581149094712</v>
      </c>
      <c r="Q45" s="32">
        <f>IF(Tabell2[[#This Row],[Eldreandel]]&lt;=H$427,H$427,IF(Tabell2[[#This Row],[Eldreandel]]&gt;=H$428,H$428,Tabell2[[#This Row],[Eldreandel]]))</f>
        <v>0.18694032289692136</v>
      </c>
      <c r="R45" s="32">
        <f>IF(Tabell2[[#This Row],[Sysselsettingsvekst10]]&lt;=I$427,I$427,IF(Tabell2[[#This Row],[Sysselsettingsvekst10]]&gt;=I$428,I$428,Tabell2[[#This Row],[Sysselsettingsvekst10]]))</f>
        <v>8.9120631341600864E-2</v>
      </c>
      <c r="S45" s="32">
        <f>IF(Tabell2[[#This Row],[Yrkesaktivandel]]&lt;=J$427,J$427,IF(Tabell2[[#This Row],[Yrkesaktivandel]]&gt;=J$428,J$428,Tabell2[[#This Row],[Yrkesaktivandel]]))</f>
        <v>0.83521431828545367</v>
      </c>
      <c r="T45" s="67">
        <f>IF(Tabell2[[#This Row],[Inntekt]]&lt;=K$427,K$427,IF(Tabell2[[#This Row],[Inntekt]]&gt;=K$428,K$428,Tabell2[[#This Row],[Inntekt]]))</f>
        <v>420700</v>
      </c>
      <c r="U45" s="10">
        <f>IF(Tabell2[[#This Row],[NIBR11-T]]&lt;=L$430,100,IF(Tabell2[[#This Row],[NIBR11-T]]&gt;=L$429,0,100*(L$429-Tabell2[[#This Row],[NIBR11-T]])/L$432))</f>
        <v>70</v>
      </c>
      <c r="V45" s="10">
        <f>(M$429-Tabell2[[#This Row],[ReisetidOslo-T]])*100/M$432</f>
        <v>87.498106691708827</v>
      </c>
      <c r="W45" s="10">
        <f>100-(N$429-Tabell2[[#This Row],[Beftettotal-T]])*100/N$432</f>
        <v>64.054008212268712</v>
      </c>
      <c r="X45" s="10">
        <f>100-(O$429-Tabell2[[#This Row],[Befvekst10-T]])*100/O$432</f>
        <v>64.993328384161671</v>
      </c>
      <c r="Y45" s="10">
        <f>100-(P$429-Tabell2[[#This Row],[Kvinneandel-T]])*100/P$432</f>
        <v>77.235412847496605</v>
      </c>
      <c r="Z45" s="10">
        <f>(Q$429-Tabell2[[#This Row],[Eldreandel-T]])*100/Q$432</f>
        <v>38.928862685694362</v>
      </c>
      <c r="AA45" s="10">
        <f>100-(R$429-Tabell2[[#This Row],[Sysselsettingsvekst10-T]])*100/R$432</f>
        <v>68.541563928113334</v>
      </c>
      <c r="AB45" s="10">
        <f>100-(S$429-Tabell2[[#This Row],[Yrkesaktivandel-T]])*100/S$432</f>
        <v>29.605706500253177</v>
      </c>
      <c r="AC45" s="10">
        <f>100-(T$429-Tabell2[[#This Row],[Inntekt-T]])*100/T$432</f>
        <v>68.388315006109082</v>
      </c>
      <c r="AD4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64.615649487337208</v>
      </c>
    </row>
    <row r="46" spans="1:30" x14ac:dyDescent="0.25">
      <c r="A46" s="2" t="s">
        <v>44</v>
      </c>
      <c r="B46" s="2">
        <v>44</v>
      </c>
      <c r="C46">
        <f>'Rådata-K'!N45</f>
        <v>4</v>
      </c>
      <c r="D46" s="30">
        <f>'Rådata-K'!M45</f>
        <v>92.375</v>
      </c>
      <c r="E46" s="32">
        <f>'Rådata-K'!O45</f>
        <v>26.437203634119477</v>
      </c>
      <c r="F46" s="32">
        <f>'Rådata-K'!P45</f>
        <v>5.8422468255457494E-2</v>
      </c>
      <c r="G46" s="32">
        <f>'Rådata-K'!Q45</f>
        <v>0.11140003545889723</v>
      </c>
      <c r="H46" s="32">
        <f>'Rådata-K'!R45</f>
        <v>0.16993676496660953</v>
      </c>
      <c r="I46" s="32">
        <f>'Rådata-K'!S45</f>
        <v>6.6946531153336375E-2</v>
      </c>
      <c r="J46" s="32">
        <f>'Rådata-K'!T45</f>
        <v>0.86076796376364006</v>
      </c>
      <c r="K46" s="67">
        <f>'Rådata-K'!L45</f>
        <v>385800</v>
      </c>
      <c r="L46" s="18">
        <f>Tabell2[[#This Row],[NIBR11]]</f>
        <v>4</v>
      </c>
      <c r="M46" s="32">
        <f>IF(Tabell2[[#This Row],[ReisetidOslo]]&lt;=D$427,D$427,IF(Tabell2[[#This Row],[ReisetidOslo]]&gt;=D$428,D$428,Tabell2[[#This Row],[ReisetidOslo]]))</f>
        <v>92.375</v>
      </c>
      <c r="N46" s="32">
        <f>IF(Tabell2[[#This Row],[Beftettotal]]&lt;=E$427,E$427,IF(Tabell2[[#This Row],[Beftettotal]]&gt;=E$428,E$428,Tabell2[[#This Row],[Beftettotal]]))</f>
        <v>26.437203634119477</v>
      </c>
      <c r="O46" s="32">
        <f>IF(Tabell2[[#This Row],[Befvekst10]]&lt;=F$427,F$427,IF(Tabell2[[#This Row],[Befvekst10]]&gt;=F$428,F$428,Tabell2[[#This Row],[Befvekst10]]))</f>
        <v>5.8422468255457494E-2</v>
      </c>
      <c r="P46" s="32">
        <f>IF(Tabell2[[#This Row],[Kvinneandel]]&lt;=G$427,G$427,IF(Tabell2[[#This Row],[Kvinneandel]]&gt;=G$428,G$428,Tabell2[[#This Row],[Kvinneandel]]))</f>
        <v>0.11140003545889723</v>
      </c>
      <c r="Q46" s="32">
        <f>IF(Tabell2[[#This Row],[Eldreandel]]&lt;=H$427,H$427,IF(Tabell2[[#This Row],[Eldreandel]]&gt;=H$428,H$428,Tabell2[[#This Row],[Eldreandel]]))</f>
        <v>0.16993676496660953</v>
      </c>
      <c r="R46" s="32">
        <f>IF(Tabell2[[#This Row],[Sysselsettingsvekst10]]&lt;=I$427,I$427,IF(Tabell2[[#This Row],[Sysselsettingsvekst10]]&gt;=I$428,I$428,Tabell2[[#This Row],[Sysselsettingsvekst10]]))</f>
        <v>6.6946531153336375E-2</v>
      </c>
      <c r="S46" s="32">
        <f>IF(Tabell2[[#This Row],[Yrkesaktivandel]]&lt;=J$427,J$427,IF(Tabell2[[#This Row],[Yrkesaktivandel]]&gt;=J$428,J$428,Tabell2[[#This Row],[Yrkesaktivandel]]))</f>
        <v>0.86076796376364006</v>
      </c>
      <c r="T46" s="67">
        <f>IF(Tabell2[[#This Row],[Inntekt]]&lt;=K$427,K$427,IF(Tabell2[[#This Row],[Inntekt]]&gt;=K$428,K$428,Tabell2[[#This Row],[Inntekt]]))</f>
        <v>385800</v>
      </c>
      <c r="U46" s="10">
        <f>IF(Tabell2[[#This Row],[NIBR11-T]]&lt;=L$430,100,IF(Tabell2[[#This Row],[NIBR11-T]]&gt;=L$429,0,100*(L$429-Tabell2[[#This Row],[NIBR11-T]])/L$432))</f>
        <v>70</v>
      </c>
      <c r="V46" s="10">
        <f>(M$429-Tabell2[[#This Row],[ReisetidOslo-T]])*100/M$432</f>
        <v>83.735051279203233</v>
      </c>
      <c r="W46" s="10">
        <f>100-(N$429-Tabell2[[#This Row],[Beftettotal-T]])*100/N$432</f>
        <v>18.775566939154118</v>
      </c>
      <c r="X46" s="10">
        <f>100-(O$429-Tabell2[[#This Row],[Befvekst10-T]])*100/O$432</f>
        <v>48.655599523069576</v>
      </c>
      <c r="Y46" s="10">
        <f>100-(P$429-Tabell2[[#This Row],[Kvinneandel-T]])*100/P$432</f>
        <v>56.743972824578059</v>
      </c>
      <c r="Z46" s="10">
        <f>(Q$429-Tabell2[[#This Row],[Eldreandel-T]])*100/Q$432</f>
        <v>57.269108899722895</v>
      </c>
      <c r="AA46" s="10">
        <f>100-(R$429-Tabell2[[#This Row],[Sysselsettingsvekst10-T]])*100/R$432</f>
        <v>60.784085006346345</v>
      </c>
      <c r="AB46" s="10">
        <f>100-(S$429-Tabell2[[#This Row],[Yrkesaktivandel-T]])*100/S$432</f>
        <v>49.42623471151532</v>
      </c>
      <c r="AC46" s="10">
        <f>100-(T$429-Tabell2[[#This Row],[Inntekt-T]])*100/T$432</f>
        <v>29.623458847050983</v>
      </c>
      <c r="AD4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53.666213669155972</v>
      </c>
    </row>
    <row r="47" spans="1:30" x14ac:dyDescent="0.25">
      <c r="A47" s="2" t="s">
        <v>45</v>
      </c>
      <c r="B47" s="2">
        <v>45</v>
      </c>
      <c r="C47">
        <f>'Rådata-K'!N46</f>
        <v>4</v>
      </c>
      <c r="D47" s="30">
        <f>'Rådata-K'!M46</f>
        <v>82.140625</v>
      </c>
      <c r="E47" s="32">
        <f>'Rådata-K'!O46</f>
        <v>20.661000433087917</v>
      </c>
      <c r="F47" s="32">
        <f>'Rådata-K'!P46</f>
        <v>4.6763576522216077E-2</v>
      </c>
      <c r="G47" s="32">
        <f>'Rådata-K'!Q46</f>
        <v>0.11489584698021747</v>
      </c>
      <c r="H47" s="32">
        <f>'Rådata-K'!R46</f>
        <v>0.17358836630420543</v>
      </c>
      <c r="I47" s="32">
        <f>'Rådata-K'!S46</f>
        <v>5.0142450142450112E-2</v>
      </c>
      <c r="J47" s="32">
        <f>'Rådata-K'!T46</f>
        <v>0.82793751414987549</v>
      </c>
      <c r="K47" s="67">
        <f>'Rådata-K'!L46</f>
        <v>370300</v>
      </c>
      <c r="L47" s="18">
        <f>Tabell2[[#This Row],[NIBR11]]</f>
        <v>4</v>
      </c>
      <c r="M47" s="32">
        <f>IF(Tabell2[[#This Row],[ReisetidOslo]]&lt;=D$427,D$427,IF(Tabell2[[#This Row],[ReisetidOslo]]&gt;=D$428,D$428,Tabell2[[#This Row],[ReisetidOslo]]))</f>
        <v>82.140625</v>
      </c>
      <c r="N47" s="32">
        <f>IF(Tabell2[[#This Row],[Beftettotal]]&lt;=E$427,E$427,IF(Tabell2[[#This Row],[Beftettotal]]&gt;=E$428,E$428,Tabell2[[#This Row],[Beftettotal]]))</f>
        <v>20.661000433087917</v>
      </c>
      <c r="O47" s="32">
        <f>IF(Tabell2[[#This Row],[Befvekst10]]&lt;=F$427,F$427,IF(Tabell2[[#This Row],[Befvekst10]]&gt;=F$428,F$428,Tabell2[[#This Row],[Befvekst10]]))</f>
        <v>4.6763576522216077E-2</v>
      </c>
      <c r="P47" s="32">
        <f>IF(Tabell2[[#This Row],[Kvinneandel]]&lt;=G$427,G$427,IF(Tabell2[[#This Row],[Kvinneandel]]&gt;=G$428,G$428,Tabell2[[#This Row],[Kvinneandel]]))</f>
        <v>0.11489584698021747</v>
      </c>
      <c r="Q47" s="32">
        <f>IF(Tabell2[[#This Row],[Eldreandel]]&lt;=H$427,H$427,IF(Tabell2[[#This Row],[Eldreandel]]&gt;=H$428,H$428,Tabell2[[#This Row],[Eldreandel]]))</f>
        <v>0.17358836630420543</v>
      </c>
      <c r="R47" s="32">
        <f>IF(Tabell2[[#This Row],[Sysselsettingsvekst10]]&lt;=I$427,I$427,IF(Tabell2[[#This Row],[Sysselsettingsvekst10]]&gt;=I$428,I$428,Tabell2[[#This Row],[Sysselsettingsvekst10]]))</f>
        <v>5.0142450142450112E-2</v>
      </c>
      <c r="S47" s="32">
        <f>IF(Tabell2[[#This Row],[Yrkesaktivandel]]&lt;=J$427,J$427,IF(Tabell2[[#This Row],[Yrkesaktivandel]]&gt;=J$428,J$428,Tabell2[[#This Row],[Yrkesaktivandel]]))</f>
        <v>0.82793751414987549</v>
      </c>
      <c r="T47" s="67">
        <f>IF(Tabell2[[#This Row],[Inntekt]]&lt;=K$427,K$427,IF(Tabell2[[#This Row],[Inntekt]]&gt;=K$428,K$428,Tabell2[[#This Row],[Inntekt]]))</f>
        <v>370300</v>
      </c>
      <c r="U47" s="10">
        <f>IF(Tabell2[[#This Row],[NIBR11-T]]&lt;=L$430,100,IF(Tabell2[[#This Row],[NIBR11-T]]&gt;=L$429,0,100*(L$429-Tabell2[[#This Row],[NIBR11-T]])/L$432))</f>
        <v>70</v>
      </c>
      <c r="V47" s="10">
        <f>(M$429-Tabell2[[#This Row],[ReisetidOslo-T]])*100/M$432</f>
        <v>88.144355921763449</v>
      </c>
      <c r="W47" s="10">
        <f>100-(N$429-Tabell2[[#This Row],[Beftettotal-T]])*100/N$432</f>
        <v>14.470528837447674</v>
      </c>
      <c r="X47" s="10">
        <f>100-(O$429-Tabell2[[#This Row],[Befvekst10-T]])*100/O$432</f>
        <v>43.633242708859058</v>
      </c>
      <c r="Y47" s="10">
        <f>100-(P$429-Tabell2[[#This Row],[Kvinneandel-T]])*100/P$432</f>
        <v>65.977470957322964</v>
      </c>
      <c r="Z47" s="10">
        <f>(Q$429-Tabell2[[#This Row],[Eldreandel-T]])*100/Q$432</f>
        <v>53.330446892543996</v>
      </c>
      <c r="AA47" s="10">
        <f>100-(R$429-Tabell2[[#This Row],[Sysselsettingsvekst10-T]])*100/R$432</f>
        <v>54.90527580395058</v>
      </c>
      <c r="AB47" s="10">
        <f>100-(S$429-Tabell2[[#This Row],[Yrkesaktivandel-T]])*100/S$432</f>
        <v>23.961498053353623</v>
      </c>
      <c r="AC47" s="10">
        <f>100-(T$429-Tabell2[[#This Row],[Inntekt-T]])*100/T$432</f>
        <v>12.406975452626895</v>
      </c>
      <c r="AD4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48.080907841179382</v>
      </c>
    </row>
    <row r="48" spans="1:30" x14ac:dyDescent="0.25">
      <c r="A48" s="2" t="s">
        <v>46</v>
      </c>
      <c r="B48" s="2">
        <v>46</v>
      </c>
      <c r="C48">
        <f>'Rådata-K'!N47</f>
        <v>4</v>
      </c>
      <c r="D48" s="30">
        <f>'Rådata-K'!M47</f>
        <v>74.25</v>
      </c>
      <c r="E48" s="32">
        <f>'Rådata-K'!O47</f>
        <v>28.051306124703153</v>
      </c>
      <c r="F48" s="32">
        <f>'Rådata-K'!P47</f>
        <v>8.9850874369702849E-2</v>
      </c>
      <c r="G48" s="32">
        <f>'Rådata-K'!Q47</f>
        <v>0.11620810158980165</v>
      </c>
      <c r="H48" s="32">
        <f>'Rådata-K'!R47</f>
        <v>0.16985775458975241</v>
      </c>
      <c r="I48" s="32">
        <f>'Rådata-K'!S47</f>
        <v>7.7643087310111936E-2</v>
      </c>
      <c r="J48" s="32">
        <f>'Rådata-K'!T47</f>
        <v>0.83483097988874622</v>
      </c>
      <c r="K48" s="67">
        <f>'Rådata-K'!L47</f>
        <v>387400</v>
      </c>
      <c r="L48" s="18">
        <f>Tabell2[[#This Row],[NIBR11]]</f>
        <v>4</v>
      </c>
      <c r="M48" s="32">
        <f>IF(Tabell2[[#This Row],[ReisetidOslo]]&lt;=D$427,D$427,IF(Tabell2[[#This Row],[ReisetidOslo]]&gt;=D$428,D$428,Tabell2[[#This Row],[ReisetidOslo]]))</f>
        <v>74.25</v>
      </c>
      <c r="N48" s="32">
        <f>IF(Tabell2[[#This Row],[Beftettotal]]&lt;=E$427,E$427,IF(Tabell2[[#This Row],[Beftettotal]]&gt;=E$428,E$428,Tabell2[[#This Row],[Beftettotal]]))</f>
        <v>28.051306124703153</v>
      </c>
      <c r="O48" s="32">
        <f>IF(Tabell2[[#This Row],[Befvekst10]]&lt;=F$427,F$427,IF(Tabell2[[#This Row],[Befvekst10]]&gt;=F$428,F$428,Tabell2[[#This Row],[Befvekst10]]))</f>
        <v>8.9850874369702849E-2</v>
      </c>
      <c r="P48" s="32">
        <f>IF(Tabell2[[#This Row],[Kvinneandel]]&lt;=G$427,G$427,IF(Tabell2[[#This Row],[Kvinneandel]]&gt;=G$428,G$428,Tabell2[[#This Row],[Kvinneandel]]))</f>
        <v>0.11620810158980165</v>
      </c>
      <c r="Q48" s="32">
        <f>IF(Tabell2[[#This Row],[Eldreandel]]&lt;=H$427,H$427,IF(Tabell2[[#This Row],[Eldreandel]]&gt;=H$428,H$428,Tabell2[[#This Row],[Eldreandel]]))</f>
        <v>0.16985775458975241</v>
      </c>
      <c r="R48" s="32">
        <f>IF(Tabell2[[#This Row],[Sysselsettingsvekst10]]&lt;=I$427,I$427,IF(Tabell2[[#This Row],[Sysselsettingsvekst10]]&gt;=I$428,I$428,Tabell2[[#This Row],[Sysselsettingsvekst10]]))</f>
        <v>7.7643087310111936E-2</v>
      </c>
      <c r="S48" s="32">
        <f>IF(Tabell2[[#This Row],[Yrkesaktivandel]]&lt;=J$427,J$427,IF(Tabell2[[#This Row],[Yrkesaktivandel]]&gt;=J$428,J$428,Tabell2[[#This Row],[Yrkesaktivandel]]))</f>
        <v>0.83483097988874622</v>
      </c>
      <c r="T48" s="67">
        <f>IF(Tabell2[[#This Row],[Inntekt]]&lt;=K$427,K$427,IF(Tabell2[[#This Row],[Inntekt]]&gt;=K$428,K$428,Tabell2[[#This Row],[Inntekt]]))</f>
        <v>387400</v>
      </c>
      <c r="U48" s="10">
        <f>IF(Tabell2[[#This Row],[NIBR11-T]]&lt;=L$430,100,IF(Tabell2[[#This Row],[NIBR11-T]]&gt;=L$429,0,100*(L$429-Tabell2[[#This Row],[NIBR11-T]])/L$432))</f>
        <v>70</v>
      </c>
      <c r="V48" s="10">
        <f>(M$429-Tabell2[[#This Row],[ReisetidOslo-T]])*100/M$432</f>
        <v>91.543896142363323</v>
      </c>
      <c r="W48" s="10">
        <f>100-(N$429-Tabell2[[#This Row],[Beftettotal-T]])*100/N$432</f>
        <v>19.978566986102095</v>
      </c>
      <c r="X48" s="10">
        <f>100-(O$429-Tabell2[[#This Row],[Befvekst10-T]])*100/O$432</f>
        <v>62.194165041918552</v>
      </c>
      <c r="Y48" s="10">
        <f>100-(P$429-Tabell2[[#This Row],[Kvinneandel-T]])*100/P$432</f>
        <v>69.443533247404687</v>
      </c>
      <c r="Z48" s="10">
        <f>(Q$429-Tabell2[[#This Row],[Eldreandel-T]])*100/Q$432</f>
        <v>57.354330461643158</v>
      </c>
      <c r="AA48" s="10">
        <f>100-(R$429-Tabell2[[#This Row],[Sysselsettingsvekst10-T]])*100/R$432</f>
        <v>64.526212453105103</v>
      </c>
      <c r="AB48" s="10">
        <f>100-(S$429-Tabell2[[#This Row],[Yrkesaktivandel-T]])*100/S$432</f>
        <v>29.308372426612436</v>
      </c>
      <c r="AC48" s="10">
        <f>100-(T$429-Tabell2[[#This Row],[Inntekt-T]])*100/T$432</f>
        <v>31.400644229701214</v>
      </c>
      <c r="AD4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56.454495417624514</v>
      </c>
    </row>
    <row r="49" spans="1:30" x14ac:dyDescent="0.25">
      <c r="A49" s="2" t="s">
        <v>47</v>
      </c>
      <c r="B49" s="2">
        <v>47</v>
      </c>
      <c r="C49">
        <f>'Rådata-K'!N48</f>
        <v>5</v>
      </c>
      <c r="D49" s="30">
        <f>'Rådata-K'!M48</f>
        <v>68.453125</v>
      </c>
      <c r="E49" s="32">
        <f>'Rådata-K'!O48</f>
        <v>10.036604085488252</v>
      </c>
      <c r="F49" s="32">
        <f>'Rådata-K'!P48</f>
        <v>8.9020771513352859E-3</v>
      </c>
      <c r="G49" s="32">
        <f>'Rådata-K'!Q48</f>
        <v>9.0980392156862738E-2</v>
      </c>
      <c r="H49" s="32">
        <f>'Rådata-K'!R48</f>
        <v>0.20784313725490197</v>
      </c>
      <c r="I49" s="32">
        <f>'Rådata-K'!S48</f>
        <v>7.1143617021276695E-2</v>
      </c>
      <c r="J49" s="32">
        <f>'Rådata-K'!T48</f>
        <v>0.80644019815994339</v>
      </c>
      <c r="K49" s="67">
        <f>'Rådata-K'!L48</f>
        <v>363400</v>
      </c>
      <c r="L49" s="18">
        <f>Tabell2[[#This Row],[NIBR11]]</f>
        <v>5</v>
      </c>
      <c r="M49" s="32">
        <f>IF(Tabell2[[#This Row],[ReisetidOslo]]&lt;=D$427,D$427,IF(Tabell2[[#This Row],[ReisetidOslo]]&gt;=D$428,D$428,Tabell2[[#This Row],[ReisetidOslo]]))</f>
        <v>68.453125</v>
      </c>
      <c r="N49" s="32">
        <f>IF(Tabell2[[#This Row],[Beftettotal]]&lt;=E$427,E$427,IF(Tabell2[[#This Row],[Beftettotal]]&gt;=E$428,E$428,Tabell2[[#This Row],[Beftettotal]]))</f>
        <v>10.036604085488252</v>
      </c>
      <c r="O49" s="32">
        <f>IF(Tabell2[[#This Row],[Befvekst10]]&lt;=F$427,F$427,IF(Tabell2[[#This Row],[Befvekst10]]&gt;=F$428,F$428,Tabell2[[#This Row],[Befvekst10]]))</f>
        <v>8.9020771513352859E-3</v>
      </c>
      <c r="P49" s="32">
        <f>IF(Tabell2[[#This Row],[Kvinneandel]]&lt;=G$427,G$427,IF(Tabell2[[#This Row],[Kvinneandel]]&gt;=G$428,G$428,Tabell2[[#This Row],[Kvinneandel]]))</f>
        <v>9.0980392156862738E-2</v>
      </c>
      <c r="Q49" s="32">
        <f>IF(Tabell2[[#This Row],[Eldreandel]]&lt;=H$427,H$427,IF(Tabell2[[#This Row],[Eldreandel]]&gt;=H$428,H$428,Tabell2[[#This Row],[Eldreandel]]))</f>
        <v>0.20784313725490197</v>
      </c>
      <c r="R49" s="32">
        <f>IF(Tabell2[[#This Row],[Sysselsettingsvekst10]]&lt;=I$427,I$427,IF(Tabell2[[#This Row],[Sysselsettingsvekst10]]&gt;=I$428,I$428,Tabell2[[#This Row],[Sysselsettingsvekst10]]))</f>
        <v>7.1143617021276695E-2</v>
      </c>
      <c r="S49" s="32">
        <f>IF(Tabell2[[#This Row],[Yrkesaktivandel]]&lt;=J$427,J$427,IF(Tabell2[[#This Row],[Yrkesaktivandel]]&gt;=J$428,J$428,Tabell2[[#This Row],[Yrkesaktivandel]]))</f>
        <v>0.80644019815994339</v>
      </c>
      <c r="T49" s="67">
        <f>IF(Tabell2[[#This Row],[Inntekt]]&lt;=K$427,K$427,IF(Tabell2[[#This Row],[Inntekt]]&gt;=K$428,K$428,Tabell2[[#This Row],[Inntekt]]))</f>
        <v>363400</v>
      </c>
      <c r="U49" s="10">
        <f>IF(Tabell2[[#This Row],[NIBR11-T]]&lt;=L$430,100,IF(Tabell2[[#This Row],[NIBR11-T]]&gt;=L$429,0,100*(L$429-Tabell2[[#This Row],[NIBR11-T]])/L$432))</f>
        <v>60</v>
      </c>
      <c r="V49" s="10">
        <f>(M$429-Tabell2[[#This Row],[ReisetidOslo-T]])*100/M$432</f>
        <v>94.041380146011932</v>
      </c>
      <c r="W49" s="10">
        <f>100-(N$429-Tabell2[[#This Row],[Beftettotal-T]])*100/N$432</f>
        <v>6.5521039669584979</v>
      </c>
      <c r="X49" s="10">
        <f>100-(O$429-Tabell2[[#This Row],[Befvekst10-T]])*100/O$432</f>
        <v>27.323462696114774</v>
      </c>
      <c r="Y49" s="10">
        <f>100-(P$429-Tabell2[[#This Row],[Kvinneandel-T]])*100/P$432</f>
        <v>2.8095037747575589</v>
      </c>
      <c r="Z49" s="10">
        <f>(Q$429-Tabell2[[#This Row],[Eldreandel-T]])*100/Q$432</f>
        <v>16.382830645653858</v>
      </c>
      <c r="AA49" s="10">
        <f>100-(R$429-Tabell2[[#This Row],[Sysselsettingsvekst10-T]])*100/R$432</f>
        <v>62.252410885500829</v>
      </c>
      <c r="AB49" s="10">
        <f>100-(S$429-Tabell2[[#This Row],[Yrkesaktivandel-T]])*100/S$432</f>
        <v>7.2872369030769732</v>
      </c>
      <c r="AC49" s="10">
        <f>100-(T$429-Tabell2[[#This Row],[Inntekt-T]])*100/T$432</f>
        <v>4.7428634899477942</v>
      </c>
      <c r="AD4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35.911908799393132</v>
      </c>
    </row>
    <row r="50" spans="1:30" x14ac:dyDescent="0.25">
      <c r="A50" s="2" t="s">
        <v>48</v>
      </c>
      <c r="B50" s="2">
        <v>48</v>
      </c>
      <c r="C50">
        <f>'Rådata-K'!N49</f>
        <v>5</v>
      </c>
      <c r="D50" s="30">
        <f>'Rådata-K'!M49</f>
        <v>57.7890625</v>
      </c>
      <c r="E50" s="32">
        <f>'Rådata-K'!O49</f>
        <v>15.222355536633509</v>
      </c>
      <c r="F50" s="32">
        <f>'Rådata-K'!P49</f>
        <v>1.4444157854010875E-2</v>
      </c>
      <c r="G50" s="32">
        <f>'Rådata-K'!Q49</f>
        <v>0.10806000508517671</v>
      </c>
      <c r="H50" s="32">
        <f>'Rådata-K'!R49</f>
        <v>0.17264174930078821</v>
      </c>
      <c r="I50" s="32">
        <f>'Rådata-K'!S49</f>
        <v>-6.5816536404771364E-3</v>
      </c>
      <c r="J50" s="32">
        <f>'Rådata-K'!T49</f>
        <v>0.82925773642068812</v>
      </c>
      <c r="K50" s="67">
        <f>'Rådata-K'!L49</f>
        <v>387500</v>
      </c>
      <c r="L50" s="18">
        <f>Tabell2[[#This Row],[NIBR11]]</f>
        <v>5</v>
      </c>
      <c r="M50" s="32">
        <f>IF(Tabell2[[#This Row],[ReisetidOslo]]&lt;=D$427,D$427,IF(Tabell2[[#This Row],[ReisetidOslo]]&gt;=D$428,D$428,Tabell2[[#This Row],[ReisetidOslo]]))</f>
        <v>57.7890625</v>
      </c>
      <c r="N50" s="32">
        <f>IF(Tabell2[[#This Row],[Beftettotal]]&lt;=E$427,E$427,IF(Tabell2[[#This Row],[Beftettotal]]&gt;=E$428,E$428,Tabell2[[#This Row],[Beftettotal]]))</f>
        <v>15.222355536633509</v>
      </c>
      <c r="O50" s="32">
        <f>IF(Tabell2[[#This Row],[Befvekst10]]&lt;=F$427,F$427,IF(Tabell2[[#This Row],[Befvekst10]]&gt;=F$428,F$428,Tabell2[[#This Row],[Befvekst10]]))</f>
        <v>1.4444157854010875E-2</v>
      </c>
      <c r="P50" s="32">
        <f>IF(Tabell2[[#This Row],[Kvinneandel]]&lt;=G$427,G$427,IF(Tabell2[[#This Row],[Kvinneandel]]&gt;=G$428,G$428,Tabell2[[#This Row],[Kvinneandel]]))</f>
        <v>0.10806000508517671</v>
      </c>
      <c r="Q50" s="32">
        <f>IF(Tabell2[[#This Row],[Eldreandel]]&lt;=H$427,H$427,IF(Tabell2[[#This Row],[Eldreandel]]&gt;=H$428,H$428,Tabell2[[#This Row],[Eldreandel]]))</f>
        <v>0.17264174930078821</v>
      </c>
      <c r="R50" s="32">
        <f>IF(Tabell2[[#This Row],[Sysselsettingsvekst10]]&lt;=I$427,I$427,IF(Tabell2[[#This Row],[Sysselsettingsvekst10]]&gt;=I$428,I$428,Tabell2[[#This Row],[Sysselsettingsvekst10]]))</f>
        <v>-6.5816536404771364E-3</v>
      </c>
      <c r="S50" s="32">
        <f>IF(Tabell2[[#This Row],[Yrkesaktivandel]]&lt;=J$427,J$427,IF(Tabell2[[#This Row],[Yrkesaktivandel]]&gt;=J$428,J$428,Tabell2[[#This Row],[Yrkesaktivandel]]))</f>
        <v>0.82925773642068812</v>
      </c>
      <c r="T50" s="67">
        <f>IF(Tabell2[[#This Row],[Inntekt]]&lt;=K$427,K$427,IF(Tabell2[[#This Row],[Inntekt]]&gt;=K$428,K$428,Tabell2[[#This Row],[Inntekt]]))</f>
        <v>387500</v>
      </c>
      <c r="U50" s="10">
        <f>IF(Tabell2[[#This Row],[NIBR11-T]]&lt;=L$430,100,IF(Tabell2[[#This Row],[NIBR11-T]]&gt;=L$429,0,100*(L$429-Tabell2[[#This Row],[NIBR11-T]])/L$432))</f>
        <v>60</v>
      </c>
      <c r="V50" s="10">
        <f>(M$429-Tabell2[[#This Row],[ReisetidOslo-T]])*100/M$432</f>
        <v>98.635808265931558</v>
      </c>
      <c r="W50" s="10">
        <f>100-(N$429-Tabell2[[#This Row],[Beftettotal-T]])*100/N$432</f>
        <v>10.417074918668249</v>
      </c>
      <c r="X50" s="10">
        <f>100-(O$429-Tabell2[[#This Row],[Befvekst10-T]])*100/O$432</f>
        <v>29.710851430725555</v>
      </c>
      <c r="Y50" s="10">
        <f>100-(P$429-Tabell2[[#This Row],[Kvinneandel-T]])*100/P$432</f>
        <v>47.921939934368787</v>
      </c>
      <c r="Z50" s="10">
        <f>(Q$429-Tabell2[[#This Row],[Eldreandel-T]])*100/Q$432</f>
        <v>54.351479607238858</v>
      </c>
      <c r="AA50" s="10">
        <f>100-(R$429-Tabell2[[#This Row],[Sysselsettingsvekst10-T]])*100/R$432</f>
        <v>35.060680726082779</v>
      </c>
      <c r="AB50" s="10">
        <f>100-(S$429-Tabell2[[#This Row],[Yrkesaktivandel-T]])*100/S$432</f>
        <v>24.985520351311692</v>
      </c>
      <c r="AC50" s="10">
        <f>100-(T$429-Tabell2[[#This Row],[Inntekt-T]])*100/T$432</f>
        <v>31.511718316116855</v>
      </c>
      <c r="AD5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43.116921521036602</v>
      </c>
    </row>
    <row r="51" spans="1:30" x14ac:dyDescent="0.25">
      <c r="A51" s="2" t="s">
        <v>49</v>
      </c>
      <c r="B51" s="2">
        <v>49</v>
      </c>
      <c r="C51">
        <f>'Rådata-K'!N50</f>
        <v>5</v>
      </c>
      <c r="D51" s="30">
        <f>'Rådata-K'!M50</f>
        <v>85.84375</v>
      </c>
      <c r="E51" s="32">
        <f>'Rådata-K'!O50</f>
        <v>9.5676072393385283</v>
      </c>
      <c r="F51" s="32">
        <f>'Rådata-K'!P50</f>
        <v>-4.0407204385278006E-2</v>
      </c>
      <c r="G51" s="32">
        <f>'Rådata-K'!Q50</f>
        <v>9.0745878896686796E-2</v>
      </c>
      <c r="H51" s="32">
        <f>'Rådata-K'!R50</f>
        <v>0.20940101191447691</v>
      </c>
      <c r="I51" s="32">
        <f>'Rådata-K'!S50</f>
        <v>-7.4709742554265546E-2</v>
      </c>
      <c r="J51" s="32">
        <f>'Rådata-K'!T50</f>
        <v>0.78608395629672223</v>
      </c>
      <c r="K51" s="67">
        <f>'Rådata-K'!L50</f>
        <v>347100</v>
      </c>
      <c r="L51" s="18">
        <f>Tabell2[[#This Row],[NIBR11]]</f>
        <v>5</v>
      </c>
      <c r="M51" s="32">
        <f>IF(Tabell2[[#This Row],[ReisetidOslo]]&lt;=D$427,D$427,IF(Tabell2[[#This Row],[ReisetidOslo]]&gt;=D$428,D$428,Tabell2[[#This Row],[ReisetidOslo]]))</f>
        <v>85.84375</v>
      </c>
      <c r="N51" s="32">
        <f>IF(Tabell2[[#This Row],[Beftettotal]]&lt;=E$427,E$427,IF(Tabell2[[#This Row],[Beftettotal]]&gt;=E$428,E$428,Tabell2[[#This Row],[Beftettotal]]))</f>
        <v>9.5676072393385283</v>
      </c>
      <c r="O51" s="32">
        <f>IF(Tabell2[[#This Row],[Befvekst10]]&lt;=F$427,F$427,IF(Tabell2[[#This Row],[Befvekst10]]&gt;=F$428,F$428,Tabell2[[#This Row],[Befvekst10]]))</f>
        <v>-4.0407204385278006E-2</v>
      </c>
      <c r="P51" s="32">
        <f>IF(Tabell2[[#This Row],[Kvinneandel]]&lt;=G$427,G$427,IF(Tabell2[[#This Row],[Kvinneandel]]&gt;=G$428,G$428,Tabell2[[#This Row],[Kvinneandel]]))</f>
        <v>9.0745878896686796E-2</v>
      </c>
      <c r="Q51" s="32">
        <f>IF(Tabell2[[#This Row],[Eldreandel]]&lt;=H$427,H$427,IF(Tabell2[[#This Row],[Eldreandel]]&gt;=H$428,H$428,Tabell2[[#This Row],[Eldreandel]]))</f>
        <v>0.20940101191447691</v>
      </c>
      <c r="R51" s="32">
        <f>IF(Tabell2[[#This Row],[Sysselsettingsvekst10]]&lt;=I$427,I$427,IF(Tabell2[[#This Row],[Sysselsettingsvekst10]]&gt;=I$428,I$428,Tabell2[[#This Row],[Sysselsettingsvekst10]]))</f>
        <v>-7.4709742554265546E-2</v>
      </c>
      <c r="S51" s="32">
        <f>IF(Tabell2[[#This Row],[Yrkesaktivandel]]&lt;=J$427,J$427,IF(Tabell2[[#This Row],[Yrkesaktivandel]]&gt;=J$428,J$428,Tabell2[[#This Row],[Yrkesaktivandel]]))</f>
        <v>0.7970451171433347</v>
      </c>
      <c r="T51" s="67">
        <f>IF(Tabell2[[#This Row],[Inntekt]]&lt;=K$427,K$427,IF(Tabell2[[#This Row],[Inntekt]]&gt;=K$428,K$428,Tabell2[[#This Row],[Inntekt]]))</f>
        <v>359130</v>
      </c>
      <c r="U51" s="10">
        <f>IF(Tabell2[[#This Row],[NIBR11-T]]&lt;=L$430,100,IF(Tabell2[[#This Row],[NIBR11-T]]&gt;=L$429,0,100*(L$429-Tabell2[[#This Row],[NIBR11-T]])/L$432))</f>
        <v>60</v>
      </c>
      <c r="V51" s="10">
        <f>(M$429-Tabell2[[#This Row],[ReisetidOslo-T]])*100/M$432</f>
        <v>86.548928135066092</v>
      </c>
      <c r="W51" s="10">
        <f>100-(N$429-Tabell2[[#This Row],[Beftettotal-T]])*100/N$432</f>
        <v>6.2025578685985607</v>
      </c>
      <c r="X51" s="10">
        <f>100-(O$429-Tabell2[[#This Row],[Befvekst10-T]])*100/O$432</f>
        <v>6.0822665519609558</v>
      </c>
      <c r="Y51" s="10">
        <f>100-(P$429-Tabell2[[#This Row],[Kvinneandel-T]])*100/P$432</f>
        <v>2.190083151897241</v>
      </c>
      <c r="Z51" s="10">
        <f>(Q$429-Tabell2[[#This Row],[Eldreandel-T]])*100/Q$432</f>
        <v>14.702487923013086</v>
      </c>
      <c r="AA51" s="10">
        <f>100-(R$429-Tabell2[[#This Row],[Sysselsettingsvekst10-T]])*100/R$432</f>
        <v>11.226468323241406</v>
      </c>
      <c r="AB51" s="10">
        <f>100-(S$429-Tabell2[[#This Row],[Yrkesaktivandel-T]])*100/S$432</f>
        <v>0</v>
      </c>
      <c r="AC51" s="10">
        <f>100-(T$429-Tabell2[[#This Row],[Inntekt-T]])*100/T$432</f>
        <v>0</v>
      </c>
      <c r="AD5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24.458877296828316</v>
      </c>
    </row>
    <row r="52" spans="1:30" x14ac:dyDescent="0.25">
      <c r="A52" s="2" t="s">
        <v>50</v>
      </c>
      <c r="B52" s="2">
        <v>50</v>
      </c>
      <c r="C52">
        <f>'Rådata-K'!N51</f>
        <v>6</v>
      </c>
      <c r="D52" s="30">
        <f>'Rådata-K'!M51</f>
        <v>98.890625</v>
      </c>
      <c r="E52" s="32">
        <f>'Rådata-K'!O51</f>
        <v>5.7061289821661072</v>
      </c>
      <c r="F52" s="32">
        <f>'Rådata-K'!P51</f>
        <v>-7.2787267080745344E-2</v>
      </c>
      <c r="G52" s="32">
        <f>'Rådata-K'!Q51</f>
        <v>8.2269206615030357E-2</v>
      </c>
      <c r="H52" s="32">
        <f>'Rådata-K'!R51</f>
        <v>0.24387691019468286</v>
      </c>
      <c r="I52" s="32">
        <f>'Rådata-K'!S51</f>
        <v>-5.4636591478696706E-2</v>
      </c>
      <c r="J52" s="32">
        <f>'Rådata-K'!T51</f>
        <v>0.80038314176245207</v>
      </c>
      <c r="K52" s="67">
        <f>'Rådata-K'!L51</f>
        <v>355900</v>
      </c>
      <c r="L52" s="18">
        <f>Tabell2[[#This Row],[NIBR11]]</f>
        <v>6</v>
      </c>
      <c r="M52" s="32">
        <f>IF(Tabell2[[#This Row],[ReisetidOslo]]&lt;=D$427,D$427,IF(Tabell2[[#This Row],[ReisetidOslo]]&gt;=D$428,D$428,Tabell2[[#This Row],[ReisetidOslo]]))</f>
        <v>98.890625</v>
      </c>
      <c r="N52" s="32">
        <f>IF(Tabell2[[#This Row],[Beftettotal]]&lt;=E$427,E$427,IF(Tabell2[[#This Row],[Beftettotal]]&gt;=E$428,E$428,Tabell2[[#This Row],[Beftettotal]]))</f>
        <v>5.7061289821661072</v>
      </c>
      <c r="O52" s="32">
        <f>IF(Tabell2[[#This Row],[Befvekst10]]&lt;=F$427,F$427,IF(Tabell2[[#This Row],[Befvekst10]]&gt;=F$428,F$428,Tabell2[[#This Row],[Befvekst10]]))</f>
        <v>-5.4526569027269343E-2</v>
      </c>
      <c r="P52" s="32">
        <f>IF(Tabell2[[#This Row],[Kvinneandel]]&lt;=G$427,G$427,IF(Tabell2[[#This Row],[Kvinneandel]]&gt;=G$428,G$428,Tabell2[[#This Row],[Kvinneandel]]))</f>
        <v>8.9916711250255951E-2</v>
      </c>
      <c r="Q52" s="32">
        <f>IF(Tabell2[[#This Row],[Eldreandel]]&lt;=H$427,H$427,IF(Tabell2[[#This Row],[Eldreandel]]&gt;=H$428,H$428,Tabell2[[#This Row],[Eldreandel]]))</f>
        <v>0.22303194152148736</v>
      </c>
      <c r="R52" s="32">
        <f>IF(Tabell2[[#This Row],[Sysselsettingsvekst10]]&lt;=I$427,I$427,IF(Tabell2[[#This Row],[Sysselsettingsvekst10]]&gt;=I$428,I$428,Tabell2[[#This Row],[Sysselsettingsvekst10]]))</f>
        <v>-5.4636591478696706E-2</v>
      </c>
      <c r="S52" s="32">
        <f>IF(Tabell2[[#This Row],[Yrkesaktivandel]]&lt;=J$427,J$427,IF(Tabell2[[#This Row],[Yrkesaktivandel]]&gt;=J$428,J$428,Tabell2[[#This Row],[Yrkesaktivandel]]))</f>
        <v>0.80038314176245207</v>
      </c>
      <c r="T52" s="67">
        <f>IF(Tabell2[[#This Row],[Inntekt]]&lt;=K$427,K$427,IF(Tabell2[[#This Row],[Inntekt]]&gt;=K$428,K$428,Tabell2[[#This Row],[Inntekt]]))</f>
        <v>359130</v>
      </c>
      <c r="U52" s="10">
        <f>IF(Tabell2[[#This Row],[NIBR11-T]]&lt;=L$430,100,IF(Tabell2[[#This Row],[NIBR11-T]]&gt;=L$429,0,100*(L$429-Tabell2[[#This Row],[NIBR11-T]])/L$432))</f>
        <v>50</v>
      </c>
      <c r="V52" s="10">
        <f>(M$429-Tabell2[[#This Row],[ReisetidOslo-T]])*100/M$432</f>
        <v>80.927906186153436</v>
      </c>
      <c r="W52" s="10">
        <f>100-(N$429-Tabell2[[#This Row],[Beftettotal-T]])*100/N$432</f>
        <v>3.3245754903004041</v>
      </c>
      <c r="X52" s="10">
        <f>100-(O$429-Tabell2[[#This Row],[Befvekst10-T]])*100/O$432</f>
        <v>0</v>
      </c>
      <c r="Y52" s="10">
        <f>100-(P$429-Tabell2[[#This Row],[Kvinneandel-T]])*100/P$432</f>
        <v>0</v>
      </c>
      <c r="Z52" s="10">
        <f>(Q$429-Tabell2[[#This Row],[Eldreandel-T]])*100/Q$432</f>
        <v>0</v>
      </c>
      <c r="AA52" s="10">
        <f>100-(R$429-Tabell2[[#This Row],[Sysselsettingsvekst10-T]])*100/R$432</f>
        <v>18.248942517913889</v>
      </c>
      <c r="AB52" s="10">
        <f>100-(S$429-Tabell2[[#This Row],[Yrkesaktivandel-T]])*100/S$432</f>
        <v>2.5891182997580984</v>
      </c>
      <c r="AC52" s="10">
        <f>100-(T$429-Tabell2[[#This Row],[Inntekt-T]])*100/T$432</f>
        <v>0</v>
      </c>
      <c r="AD5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20.509054249412582</v>
      </c>
    </row>
    <row r="53" spans="1:30" x14ac:dyDescent="0.25">
      <c r="A53" s="2" t="s">
        <v>51</v>
      </c>
      <c r="B53" s="2">
        <v>51</v>
      </c>
      <c r="C53">
        <f>'Rådata-K'!N52</f>
        <v>5</v>
      </c>
      <c r="D53" s="30">
        <f>'Rådata-K'!M52</f>
        <v>115.546875</v>
      </c>
      <c r="E53" s="32">
        <f>'Rådata-K'!O52</f>
        <v>7.0407516283359266</v>
      </c>
      <c r="F53" s="32">
        <f>'Rådata-K'!P52</f>
        <v>-3.6165176223040496E-2</v>
      </c>
      <c r="G53" s="32">
        <f>'Rådata-K'!Q52</f>
        <v>9.3464319825351347E-2</v>
      </c>
      <c r="H53" s="32">
        <f>'Rådata-K'!R52</f>
        <v>0.23263746759448764</v>
      </c>
      <c r="I53" s="32">
        <f>'Rådata-K'!S52</f>
        <v>-6.1994609164420456E-2</v>
      </c>
      <c r="J53" s="32">
        <f>'Rådata-K'!T52</f>
        <v>0.8095474888115366</v>
      </c>
      <c r="K53" s="67">
        <f>'Rådata-K'!L52</f>
        <v>349100</v>
      </c>
      <c r="L53" s="18">
        <f>Tabell2[[#This Row],[NIBR11]]</f>
        <v>5</v>
      </c>
      <c r="M53" s="32">
        <f>IF(Tabell2[[#This Row],[ReisetidOslo]]&lt;=D$427,D$427,IF(Tabell2[[#This Row],[ReisetidOslo]]&gt;=D$428,D$428,Tabell2[[#This Row],[ReisetidOslo]]))</f>
        <v>115.546875</v>
      </c>
      <c r="N53" s="32">
        <f>IF(Tabell2[[#This Row],[Beftettotal]]&lt;=E$427,E$427,IF(Tabell2[[#This Row],[Beftettotal]]&gt;=E$428,E$428,Tabell2[[#This Row],[Beftettotal]]))</f>
        <v>7.0407516283359266</v>
      </c>
      <c r="O53" s="32">
        <f>IF(Tabell2[[#This Row],[Befvekst10]]&lt;=F$427,F$427,IF(Tabell2[[#This Row],[Befvekst10]]&gt;=F$428,F$428,Tabell2[[#This Row],[Befvekst10]]))</f>
        <v>-3.6165176223040496E-2</v>
      </c>
      <c r="P53" s="32">
        <f>IF(Tabell2[[#This Row],[Kvinneandel]]&lt;=G$427,G$427,IF(Tabell2[[#This Row],[Kvinneandel]]&gt;=G$428,G$428,Tabell2[[#This Row],[Kvinneandel]]))</f>
        <v>9.3464319825351347E-2</v>
      </c>
      <c r="Q53" s="32">
        <f>IF(Tabell2[[#This Row],[Eldreandel]]&lt;=H$427,H$427,IF(Tabell2[[#This Row],[Eldreandel]]&gt;=H$428,H$428,Tabell2[[#This Row],[Eldreandel]]))</f>
        <v>0.22303194152148736</v>
      </c>
      <c r="R53" s="32">
        <f>IF(Tabell2[[#This Row],[Sysselsettingsvekst10]]&lt;=I$427,I$427,IF(Tabell2[[#This Row],[Sysselsettingsvekst10]]&gt;=I$428,I$428,Tabell2[[#This Row],[Sysselsettingsvekst10]]))</f>
        <v>-6.1994609164420456E-2</v>
      </c>
      <c r="S53" s="32">
        <f>IF(Tabell2[[#This Row],[Yrkesaktivandel]]&lt;=J$427,J$427,IF(Tabell2[[#This Row],[Yrkesaktivandel]]&gt;=J$428,J$428,Tabell2[[#This Row],[Yrkesaktivandel]]))</f>
        <v>0.8095474888115366</v>
      </c>
      <c r="T53" s="67">
        <f>IF(Tabell2[[#This Row],[Inntekt]]&lt;=K$427,K$427,IF(Tabell2[[#This Row],[Inntekt]]&gt;=K$428,K$428,Tabell2[[#This Row],[Inntekt]]))</f>
        <v>359130</v>
      </c>
      <c r="U53" s="10">
        <f>IF(Tabell2[[#This Row],[NIBR11-T]]&lt;=L$430,100,IF(Tabell2[[#This Row],[NIBR11-T]]&gt;=L$429,0,100*(L$429-Tabell2[[#This Row],[NIBR11-T]])/L$432))</f>
        <v>60</v>
      </c>
      <c r="V53" s="10">
        <f>(M$429-Tabell2[[#This Row],[ReisetidOslo-T]])*100/M$432</f>
        <v>73.751847027421846</v>
      </c>
      <c r="W53" s="10">
        <f>100-(N$429-Tabell2[[#This Row],[Beftettotal-T]])*100/N$432</f>
        <v>4.3192775710954834</v>
      </c>
      <c r="X53" s="10">
        <f>100-(O$429-Tabell2[[#This Row],[Befvekst10-T]])*100/O$432</f>
        <v>7.9096254068289937</v>
      </c>
      <c r="Y53" s="10">
        <f>100-(P$429-Tabell2[[#This Row],[Kvinneandel-T]])*100/P$432</f>
        <v>9.3703098562596665</v>
      </c>
      <c r="Z53" s="10">
        <f>(Q$429-Tabell2[[#This Row],[Eldreandel-T]])*100/Q$432</f>
        <v>0</v>
      </c>
      <c r="AA53" s="10">
        <f>100-(R$429-Tabell2[[#This Row],[Sysselsettingsvekst10-T]])*100/R$432</f>
        <v>15.674783178036847</v>
      </c>
      <c r="AB53" s="10">
        <f>100-(S$429-Tabell2[[#This Row],[Yrkesaktivandel-T]])*100/S$432</f>
        <v>9.6973878176722366</v>
      </c>
      <c r="AC53" s="10">
        <f>100-(T$429-Tabell2[[#This Row],[Inntekt-T]])*100/T$432</f>
        <v>0</v>
      </c>
      <c r="AD5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24.394770133601423</v>
      </c>
    </row>
    <row r="54" spans="1:30" x14ac:dyDescent="0.25">
      <c r="A54" s="2" t="s">
        <v>52</v>
      </c>
      <c r="B54" s="2">
        <v>52</v>
      </c>
      <c r="C54">
        <f>'Rådata-K'!N53</f>
        <v>5</v>
      </c>
      <c r="D54" s="30">
        <f>'Rådata-K'!M53</f>
        <v>120.40625</v>
      </c>
      <c r="E54" s="32">
        <f>'Rådata-K'!O53</f>
        <v>5.3071120689655178</v>
      </c>
      <c r="F54" s="32">
        <f>'Rådata-K'!P53</f>
        <v>-3.4562806293525927E-2</v>
      </c>
      <c r="G54" s="32">
        <f>'Rådata-K'!Q53</f>
        <v>8.2554100988511889E-2</v>
      </c>
      <c r="H54" s="32">
        <f>'Rådata-K'!R53</f>
        <v>0.22842639593908629</v>
      </c>
      <c r="I54" s="32">
        <f>'Rådata-K'!S53</f>
        <v>-5.5957867017774832E-2</v>
      </c>
      <c r="J54" s="32">
        <f>'Rådata-K'!T53</f>
        <v>0.80499519692603261</v>
      </c>
      <c r="K54" s="67">
        <f>'Rådata-K'!L53</f>
        <v>359100</v>
      </c>
      <c r="L54" s="18">
        <f>Tabell2[[#This Row],[NIBR11]]</f>
        <v>5</v>
      </c>
      <c r="M54" s="32">
        <f>IF(Tabell2[[#This Row],[ReisetidOslo]]&lt;=D$427,D$427,IF(Tabell2[[#This Row],[ReisetidOslo]]&gt;=D$428,D$428,Tabell2[[#This Row],[ReisetidOslo]]))</f>
        <v>120.40625</v>
      </c>
      <c r="N54" s="32">
        <f>IF(Tabell2[[#This Row],[Beftettotal]]&lt;=E$427,E$427,IF(Tabell2[[#This Row],[Beftettotal]]&gt;=E$428,E$428,Tabell2[[#This Row],[Beftettotal]]))</f>
        <v>5.3071120689655178</v>
      </c>
      <c r="O54" s="32">
        <f>IF(Tabell2[[#This Row],[Befvekst10]]&lt;=F$427,F$427,IF(Tabell2[[#This Row],[Befvekst10]]&gt;=F$428,F$428,Tabell2[[#This Row],[Befvekst10]]))</f>
        <v>-3.4562806293525927E-2</v>
      </c>
      <c r="P54" s="32">
        <f>IF(Tabell2[[#This Row],[Kvinneandel]]&lt;=G$427,G$427,IF(Tabell2[[#This Row],[Kvinneandel]]&gt;=G$428,G$428,Tabell2[[#This Row],[Kvinneandel]]))</f>
        <v>8.9916711250255951E-2</v>
      </c>
      <c r="Q54" s="32">
        <f>IF(Tabell2[[#This Row],[Eldreandel]]&lt;=H$427,H$427,IF(Tabell2[[#This Row],[Eldreandel]]&gt;=H$428,H$428,Tabell2[[#This Row],[Eldreandel]]))</f>
        <v>0.22303194152148736</v>
      </c>
      <c r="R54" s="32">
        <f>IF(Tabell2[[#This Row],[Sysselsettingsvekst10]]&lt;=I$427,I$427,IF(Tabell2[[#This Row],[Sysselsettingsvekst10]]&gt;=I$428,I$428,Tabell2[[#This Row],[Sysselsettingsvekst10]]))</f>
        <v>-5.5957867017774832E-2</v>
      </c>
      <c r="S54" s="32">
        <f>IF(Tabell2[[#This Row],[Yrkesaktivandel]]&lt;=J$427,J$427,IF(Tabell2[[#This Row],[Yrkesaktivandel]]&gt;=J$428,J$428,Tabell2[[#This Row],[Yrkesaktivandel]]))</f>
        <v>0.80499519692603261</v>
      </c>
      <c r="T54" s="67">
        <f>IF(Tabell2[[#This Row],[Inntekt]]&lt;=K$427,K$427,IF(Tabell2[[#This Row],[Inntekt]]&gt;=K$428,K$428,Tabell2[[#This Row],[Inntekt]]))</f>
        <v>359130</v>
      </c>
      <c r="U54" s="10">
        <f>IF(Tabell2[[#This Row],[NIBR11-T]]&lt;=L$430,100,IF(Tabell2[[#This Row],[NIBR11-T]]&gt;=L$429,0,100*(L$429-Tabell2[[#This Row],[NIBR11-T]])/L$432))</f>
        <v>60</v>
      </c>
      <c r="V54" s="10">
        <f>(M$429-Tabell2[[#This Row],[ReisetidOslo-T]])*100/M$432</f>
        <v>71.658268792557365</v>
      </c>
      <c r="W54" s="10">
        <f>100-(N$429-Tabell2[[#This Row],[Beftettotal-T]])*100/N$432</f>
        <v>3.0271858461398438</v>
      </c>
      <c r="X54" s="10">
        <f>100-(O$429-Tabell2[[#This Row],[Befvekst10-T]])*100/O$432</f>
        <v>8.5998860009331679</v>
      </c>
      <c r="Y54" s="10">
        <f>100-(P$429-Tabell2[[#This Row],[Kvinneandel-T]])*100/P$432</f>
        <v>0</v>
      </c>
      <c r="Z54" s="10">
        <f>(Q$429-Tabell2[[#This Row],[Eldreandel-T]])*100/Q$432</f>
        <v>0</v>
      </c>
      <c r="AA54" s="10">
        <f>100-(R$429-Tabell2[[#This Row],[Sysselsettingsvekst10-T]])*100/R$432</f>
        <v>17.78670201853754</v>
      </c>
      <c r="AB54" s="10">
        <f>100-(S$429-Tabell2[[#This Row],[Yrkesaktivandel-T]])*100/S$432</f>
        <v>6.1664305685566632</v>
      </c>
      <c r="AC54" s="10">
        <f>100-(T$429-Tabell2[[#This Row],[Inntekt-T]])*100/T$432</f>
        <v>0</v>
      </c>
      <c r="AD5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23.583835922765772</v>
      </c>
    </row>
    <row r="55" spans="1:30" x14ac:dyDescent="0.25">
      <c r="A55" s="2" t="s">
        <v>53</v>
      </c>
      <c r="B55" s="2">
        <v>53</v>
      </c>
      <c r="C55">
        <f>'Rådata-K'!N54</f>
        <v>5</v>
      </c>
      <c r="D55" s="30">
        <f>'Rådata-K'!M54</f>
        <v>95.578125</v>
      </c>
      <c r="E55" s="32">
        <f>'Rådata-K'!O54</f>
        <v>17.152990750758565</v>
      </c>
      <c r="F55" s="32">
        <f>'Rådata-K'!P54</f>
        <v>9.4807892004153738E-2</v>
      </c>
      <c r="G55" s="32">
        <f>'Rådata-K'!Q54</f>
        <v>0.12539125486104524</v>
      </c>
      <c r="H55" s="32">
        <f>'Rådata-K'!R54</f>
        <v>0.1692117992981125</v>
      </c>
      <c r="I55" s="32">
        <f>'Rådata-K'!S54</f>
        <v>8.1684256816182854E-2</v>
      </c>
      <c r="J55" s="32">
        <f>'Rådata-K'!T54</f>
        <v>0.8296685264194289</v>
      </c>
      <c r="K55" s="67">
        <f>'Rådata-K'!L54</f>
        <v>391300</v>
      </c>
      <c r="L55" s="18">
        <f>Tabell2[[#This Row],[NIBR11]]</f>
        <v>5</v>
      </c>
      <c r="M55" s="32">
        <f>IF(Tabell2[[#This Row],[ReisetidOslo]]&lt;=D$427,D$427,IF(Tabell2[[#This Row],[ReisetidOslo]]&gt;=D$428,D$428,Tabell2[[#This Row],[ReisetidOslo]]))</f>
        <v>95.578125</v>
      </c>
      <c r="N55" s="32">
        <f>IF(Tabell2[[#This Row],[Beftettotal]]&lt;=E$427,E$427,IF(Tabell2[[#This Row],[Beftettotal]]&gt;=E$428,E$428,Tabell2[[#This Row],[Beftettotal]]))</f>
        <v>17.152990750758565</v>
      </c>
      <c r="O55" s="32">
        <f>IF(Tabell2[[#This Row],[Befvekst10]]&lt;=F$427,F$427,IF(Tabell2[[#This Row],[Befvekst10]]&gt;=F$428,F$428,Tabell2[[#This Row],[Befvekst10]]))</f>
        <v>9.4807892004153738E-2</v>
      </c>
      <c r="P55" s="32">
        <f>IF(Tabell2[[#This Row],[Kvinneandel]]&lt;=G$427,G$427,IF(Tabell2[[#This Row],[Kvinneandel]]&gt;=G$428,G$428,Tabell2[[#This Row],[Kvinneandel]]))</f>
        <v>0.12539125486104524</v>
      </c>
      <c r="Q55" s="32">
        <f>IF(Tabell2[[#This Row],[Eldreandel]]&lt;=H$427,H$427,IF(Tabell2[[#This Row],[Eldreandel]]&gt;=H$428,H$428,Tabell2[[#This Row],[Eldreandel]]))</f>
        <v>0.1692117992981125</v>
      </c>
      <c r="R55" s="32">
        <f>IF(Tabell2[[#This Row],[Sysselsettingsvekst10]]&lt;=I$427,I$427,IF(Tabell2[[#This Row],[Sysselsettingsvekst10]]&gt;=I$428,I$428,Tabell2[[#This Row],[Sysselsettingsvekst10]]))</f>
        <v>8.1684256816182854E-2</v>
      </c>
      <c r="S55" s="32">
        <f>IF(Tabell2[[#This Row],[Yrkesaktivandel]]&lt;=J$427,J$427,IF(Tabell2[[#This Row],[Yrkesaktivandel]]&gt;=J$428,J$428,Tabell2[[#This Row],[Yrkesaktivandel]]))</f>
        <v>0.8296685264194289</v>
      </c>
      <c r="T55" s="67">
        <f>IF(Tabell2[[#This Row],[Inntekt]]&lt;=K$427,K$427,IF(Tabell2[[#This Row],[Inntekt]]&gt;=K$428,K$428,Tabell2[[#This Row],[Inntekt]]))</f>
        <v>391300</v>
      </c>
      <c r="U55" s="10">
        <f>IF(Tabell2[[#This Row],[NIBR11-T]]&lt;=L$430,100,IF(Tabell2[[#This Row],[NIBR11-T]]&gt;=L$429,0,100*(L$429-Tabell2[[#This Row],[NIBR11-T]])/L$432))</f>
        <v>60</v>
      </c>
      <c r="V55" s="10">
        <f>(M$429-Tabell2[[#This Row],[ReisetidOslo-T]])*100/M$432</f>
        <v>82.355039902524069</v>
      </c>
      <c r="W55" s="10">
        <f>100-(N$429-Tabell2[[#This Row],[Beftettotal-T]])*100/N$432</f>
        <v>11.855988659760357</v>
      </c>
      <c r="X55" s="10">
        <f>100-(O$429-Tabell2[[#This Row],[Befvekst10-T]])*100/O$432</f>
        <v>64.329523347336533</v>
      </c>
      <c r="Y55" s="10">
        <f>100-(P$429-Tabell2[[#This Row],[Kvinneandel-T]])*100/P$432</f>
        <v>93.699025302855929</v>
      </c>
      <c r="Z55" s="10">
        <f>(Q$429-Tabell2[[#This Row],[Eldreandel-T]])*100/Q$432</f>
        <v>58.051065764953485</v>
      </c>
      <c r="AA55" s="10">
        <f>100-(R$429-Tabell2[[#This Row],[Sysselsettingsvekst10-T]])*100/R$432</f>
        <v>65.939991907354354</v>
      </c>
      <c r="AB55" s="10">
        <f>100-(S$429-Tabell2[[#This Row],[Yrkesaktivandel-T]])*100/S$432</f>
        <v>25.304147091511879</v>
      </c>
      <c r="AC55" s="10">
        <f>100-(T$429-Tabell2[[#This Row],[Inntekt-T]])*100/T$432</f>
        <v>35.732533599911136</v>
      </c>
      <c r="AD5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54.572179338963956</v>
      </c>
    </row>
    <row r="56" spans="1:30" x14ac:dyDescent="0.25">
      <c r="A56" s="2" t="s">
        <v>54</v>
      </c>
      <c r="B56" s="2">
        <v>54</v>
      </c>
      <c r="C56">
        <f>'Rådata-K'!N55</f>
        <v>9</v>
      </c>
      <c r="D56" s="30">
        <f>'Rådata-K'!M55</f>
        <v>148.5</v>
      </c>
      <c r="E56" s="32">
        <f>'Rådata-K'!O55</f>
        <v>2.1729250224756749</v>
      </c>
      <c r="F56" s="32">
        <f>'Rådata-K'!P55</f>
        <v>-3.4208198171630788E-2</v>
      </c>
      <c r="G56" s="32">
        <f>'Rådata-K'!Q55</f>
        <v>9.648854961832061E-2</v>
      </c>
      <c r="H56" s="32">
        <f>'Rådata-K'!R55</f>
        <v>0.22305343511450382</v>
      </c>
      <c r="I56" s="32">
        <f>'Rådata-K'!S55</f>
        <v>-2.7874564459930307E-2</v>
      </c>
      <c r="J56" s="32">
        <f>'Rådata-K'!T55</f>
        <v>0.83333333333333337</v>
      </c>
      <c r="K56" s="67">
        <f>'Rådata-K'!L55</f>
        <v>348100</v>
      </c>
      <c r="L56" s="18">
        <f>Tabell2[[#This Row],[NIBR11]]</f>
        <v>9</v>
      </c>
      <c r="M56" s="32">
        <f>IF(Tabell2[[#This Row],[ReisetidOslo]]&lt;=D$427,D$427,IF(Tabell2[[#This Row],[ReisetidOslo]]&gt;=D$428,D$428,Tabell2[[#This Row],[ReisetidOslo]]))</f>
        <v>148.5</v>
      </c>
      <c r="N56" s="32">
        <f>IF(Tabell2[[#This Row],[Beftettotal]]&lt;=E$427,E$427,IF(Tabell2[[#This Row],[Beftettotal]]&gt;=E$428,E$428,Tabell2[[#This Row],[Beftettotal]]))</f>
        <v>2.1729250224756749</v>
      </c>
      <c r="O56" s="32">
        <f>IF(Tabell2[[#This Row],[Befvekst10]]&lt;=F$427,F$427,IF(Tabell2[[#This Row],[Befvekst10]]&gt;=F$428,F$428,Tabell2[[#This Row],[Befvekst10]]))</f>
        <v>-3.4208198171630788E-2</v>
      </c>
      <c r="P56" s="32">
        <f>IF(Tabell2[[#This Row],[Kvinneandel]]&lt;=G$427,G$427,IF(Tabell2[[#This Row],[Kvinneandel]]&gt;=G$428,G$428,Tabell2[[#This Row],[Kvinneandel]]))</f>
        <v>9.648854961832061E-2</v>
      </c>
      <c r="Q56" s="32">
        <f>IF(Tabell2[[#This Row],[Eldreandel]]&lt;=H$427,H$427,IF(Tabell2[[#This Row],[Eldreandel]]&gt;=H$428,H$428,Tabell2[[#This Row],[Eldreandel]]))</f>
        <v>0.22303194152148736</v>
      </c>
      <c r="R56" s="32">
        <f>IF(Tabell2[[#This Row],[Sysselsettingsvekst10]]&lt;=I$427,I$427,IF(Tabell2[[#This Row],[Sysselsettingsvekst10]]&gt;=I$428,I$428,Tabell2[[#This Row],[Sysselsettingsvekst10]]))</f>
        <v>-2.7874564459930307E-2</v>
      </c>
      <c r="S56" s="32">
        <f>IF(Tabell2[[#This Row],[Yrkesaktivandel]]&lt;=J$427,J$427,IF(Tabell2[[#This Row],[Yrkesaktivandel]]&gt;=J$428,J$428,Tabell2[[#This Row],[Yrkesaktivandel]]))</f>
        <v>0.83333333333333337</v>
      </c>
      <c r="T56" s="67">
        <f>IF(Tabell2[[#This Row],[Inntekt]]&lt;=K$427,K$427,IF(Tabell2[[#This Row],[Inntekt]]&gt;=K$428,K$428,Tabell2[[#This Row],[Inntekt]]))</f>
        <v>359130</v>
      </c>
      <c r="U56" s="10">
        <f>IF(Tabell2[[#This Row],[NIBR11-T]]&lt;=L$430,100,IF(Tabell2[[#This Row],[NIBR11-T]]&gt;=L$429,0,100*(L$429-Tabell2[[#This Row],[NIBR11-T]])/L$432))</f>
        <v>20</v>
      </c>
      <c r="V56" s="10">
        <f>(M$429-Tabell2[[#This Row],[ReisetidOslo-T]])*100/M$432</f>
        <v>59.554559254659225</v>
      </c>
      <c r="W56" s="10">
        <f>100-(N$429-Tabell2[[#This Row],[Beftettotal-T]])*100/N$432</f>
        <v>0.69125787002502648</v>
      </c>
      <c r="X56" s="10">
        <f>100-(O$429-Tabell2[[#This Row],[Befvekst10-T]])*100/O$432</f>
        <v>8.7526422455337212</v>
      </c>
      <c r="Y56" s="10">
        <f>100-(P$429-Tabell2[[#This Row],[Kvinneandel-T]])*100/P$432</f>
        <v>17.3582176642376</v>
      </c>
      <c r="Z56" s="10">
        <f>(Q$429-Tabell2[[#This Row],[Eldreandel-T]])*100/Q$432</f>
        <v>0</v>
      </c>
      <c r="AA56" s="10">
        <f>100-(R$429-Tabell2[[#This Row],[Sysselsettingsvekst10-T]])*100/R$432</f>
        <v>27.611480737693071</v>
      </c>
      <c r="AB56" s="10">
        <f>100-(S$429-Tabell2[[#This Row],[Yrkesaktivandel-T]])*100/S$432</f>
        <v>28.146732071720649</v>
      </c>
      <c r="AC56" s="10">
        <f>100-(T$429-Tabell2[[#This Row],[Inntekt-T]])*100/T$432</f>
        <v>0</v>
      </c>
      <c r="AD5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18.218842325728424</v>
      </c>
    </row>
    <row r="57" spans="1:30" x14ac:dyDescent="0.25">
      <c r="A57" s="2" t="s">
        <v>55</v>
      </c>
      <c r="B57" s="2">
        <v>55</v>
      </c>
      <c r="C57">
        <f>'Rådata-K'!N56</f>
        <v>5</v>
      </c>
      <c r="D57" s="30">
        <f>'Rådata-K'!M56</f>
        <v>119.375</v>
      </c>
      <c r="E57" s="32">
        <f>'Rådata-K'!O56</f>
        <v>3.3718430951101563</v>
      </c>
      <c r="F57" s="32">
        <f>'Rådata-K'!P56</f>
        <v>5.4621848739495826E-2</v>
      </c>
      <c r="G57" s="32">
        <f>'Rådata-K'!Q56</f>
        <v>0.11398849048251439</v>
      </c>
      <c r="H57" s="32">
        <f>'Rådata-K'!R56</f>
        <v>0.17773351040283311</v>
      </c>
      <c r="I57" s="32">
        <f>'Rådata-K'!S56</f>
        <v>7.6036866359447064E-2</v>
      </c>
      <c r="J57" s="32">
        <f>'Rådata-K'!T56</f>
        <v>0.80122558406740707</v>
      </c>
      <c r="K57" s="67">
        <f>'Rådata-K'!L56</f>
        <v>367100</v>
      </c>
      <c r="L57" s="18">
        <f>Tabell2[[#This Row],[NIBR11]]</f>
        <v>5</v>
      </c>
      <c r="M57" s="32">
        <f>IF(Tabell2[[#This Row],[ReisetidOslo]]&lt;=D$427,D$427,IF(Tabell2[[#This Row],[ReisetidOslo]]&gt;=D$428,D$428,Tabell2[[#This Row],[ReisetidOslo]]))</f>
        <v>119.375</v>
      </c>
      <c r="N57" s="32">
        <f>IF(Tabell2[[#This Row],[Beftettotal]]&lt;=E$427,E$427,IF(Tabell2[[#This Row],[Beftettotal]]&gt;=E$428,E$428,Tabell2[[#This Row],[Beftettotal]]))</f>
        <v>3.3718430951101563</v>
      </c>
      <c r="O57" s="32">
        <f>IF(Tabell2[[#This Row],[Befvekst10]]&lt;=F$427,F$427,IF(Tabell2[[#This Row],[Befvekst10]]&gt;=F$428,F$428,Tabell2[[#This Row],[Befvekst10]]))</f>
        <v>5.4621848739495826E-2</v>
      </c>
      <c r="P57" s="32">
        <f>IF(Tabell2[[#This Row],[Kvinneandel]]&lt;=G$427,G$427,IF(Tabell2[[#This Row],[Kvinneandel]]&gt;=G$428,G$428,Tabell2[[#This Row],[Kvinneandel]]))</f>
        <v>0.11398849048251439</v>
      </c>
      <c r="Q57" s="32">
        <f>IF(Tabell2[[#This Row],[Eldreandel]]&lt;=H$427,H$427,IF(Tabell2[[#This Row],[Eldreandel]]&gt;=H$428,H$428,Tabell2[[#This Row],[Eldreandel]]))</f>
        <v>0.17773351040283311</v>
      </c>
      <c r="R57" s="32">
        <f>IF(Tabell2[[#This Row],[Sysselsettingsvekst10]]&lt;=I$427,I$427,IF(Tabell2[[#This Row],[Sysselsettingsvekst10]]&gt;=I$428,I$428,Tabell2[[#This Row],[Sysselsettingsvekst10]]))</f>
        <v>7.6036866359447064E-2</v>
      </c>
      <c r="S57" s="32">
        <f>IF(Tabell2[[#This Row],[Yrkesaktivandel]]&lt;=J$427,J$427,IF(Tabell2[[#This Row],[Yrkesaktivandel]]&gt;=J$428,J$428,Tabell2[[#This Row],[Yrkesaktivandel]]))</f>
        <v>0.80122558406740707</v>
      </c>
      <c r="T57" s="67">
        <f>IF(Tabell2[[#This Row],[Inntekt]]&lt;=K$427,K$427,IF(Tabell2[[#This Row],[Inntekt]]&gt;=K$428,K$428,Tabell2[[#This Row],[Inntekt]]))</f>
        <v>367100</v>
      </c>
      <c r="U57" s="10">
        <f>IF(Tabell2[[#This Row],[NIBR11-T]]&lt;=L$430,100,IF(Tabell2[[#This Row],[NIBR11-T]]&gt;=L$429,0,100*(L$429-Tabell2[[#This Row],[NIBR11-T]])/L$432))</f>
        <v>60</v>
      </c>
      <c r="V57" s="10">
        <f>(M$429-Tabell2[[#This Row],[ReisetidOslo-T]])*100/M$432</f>
        <v>72.10256513821993</v>
      </c>
      <c r="W57" s="10">
        <f>100-(N$429-Tabell2[[#This Row],[Beftettotal-T]])*100/N$432</f>
        <v>1.5848185367609346</v>
      </c>
      <c r="X57" s="10">
        <f>100-(O$429-Tabell2[[#This Row],[Befvekst10-T]])*100/O$432</f>
        <v>47.018388391775822</v>
      </c>
      <c r="Y57" s="10">
        <f>100-(P$429-Tabell2[[#This Row],[Kvinneandel-T]])*100/P$432</f>
        <v>63.58086734291777</v>
      </c>
      <c r="Z57" s="10">
        <f>(Q$429-Tabell2[[#This Row],[Eldreandel-T]])*100/Q$432</f>
        <v>48.859443607641204</v>
      </c>
      <c r="AA57" s="10">
        <f>100-(R$429-Tabell2[[#This Row],[Sysselsettingsvekst10-T]])*100/R$432</f>
        <v>63.964285472407255</v>
      </c>
      <c r="AB57" s="10">
        <f>100-(S$429-Tabell2[[#This Row],[Yrkesaktivandel-T]])*100/S$432</f>
        <v>3.2425535008520114</v>
      </c>
      <c r="AC57" s="10">
        <f>100-(T$429-Tabell2[[#This Row],[Inntekt-T]])*100/T$432</f>
        <v>8.8526046873264477</v>
      </c>
      <c r="AD5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42.000375959439772</v>
      </c>
    </row>
    <row r="58" spans="1:30" x14ac:dyDescent="0.25">
      <c r="A58" s="2" t="s">
        <v>56</v>
      </c>
      <c r="B58" s="2">
        <v>56</v>
      </c>
      <c r="C58">
        <f>'Rådata-K'!N57</f>
        <v>11</v>
      </c>
      <c r="D58" s="30">
        <f>'Rådata-K'!M57</f>
        <v>163.25</v>
      </c>
      <c r="E58" s="32">
        <f>'Rådata-K'!O57</f>
        <v>1.1681703589468921</v>
      </c>
      <c r="F58" s="32">
        <f>'Rådata-K'!P57</f>
        <v>-6.4695009242144219E-2</v>
      </c>
      <c r="G58" s="32">
        <f>'Rådata-K'!Q57</f>
        <v>9.6837944664031617E-2</v>
      </c>
      <c r="H58" s="32">
        <f>'Rådata-K'!R57</f>
        <v>0.233201581027668</v>
      </c>
      <c r="I58" s="32">
        <f>'Rådata-K'!S57</f>
        <v>-7.1962616822429881E-2</v>
      </c>
      <c r="J58" s="32">
        <f>'Rådata-K'!T57</f>
        <v>0.77120456165359941</v>
      </c>
      <c r="K58" s="67">
        <f>'Rådata-K'!L57</f>
        <v>319400</v>
      </c>
      <c r="L58" s="18">
        <f>Tabell2[[#This Row],[NIBR11]]</f>
        <v>11</v>
      </c>
      <c r="M58" s="32">
        <f>IF(Tabell2[[#This Row],[ReisetidOslo]]&lt;=D$427,D$427,IF(Tabell2[[#This Row],[ReisetidOslo]]&gt;=D$428,D$428,Tabell2[[#This Row],[ReisetidOslo]]))</f>
        <v>163.25</v>
      </c>
      <c r="N58" s="32">
        <f>IF(Tabell2[[#This Row],[Beftettotal]]&lt;=E$427,E$427,IF(Tabell2[[#This Row],[Beftettotal]]&gt;=E$428,E$428,Tabell2[[#This Row],[Beftettotal]]))</f>
        <v>1.2454428893921135</v>
      </c>
      <c r="O58" s="32">
        <f>IF(Tabell2[[#This Row],[Befvekst10]]&lt;=F$427,F$427,IF(Tabell2[[#This Row],[Befvekst10]]&gt;=F$428,F$428,Tabell2[[#This Row],[Befvekst10]]))</f>
        <v>-5.4526569027269343E-2</v>
      </c>
      <c r="P58" s="32">
        <f>IF(Tabell2[[#This Row],[Kvinneandel]]&lt;=G$427,G$427,IF(Tabell2[[#This Row],[Kvinneandel]]&gt;=G$428,G$428,Tabell2[[#This Row],[Kvinneandel]]))</f>
        <v>9.6837944664031617E-2</v>
      </c>
      <c r="Q58" s="32">
        <f>IF(Tabell2[[#This Row],[Eldreandel]]&lt;=H$427,H$427,IF(Tabell2[[#This Row],[Eldreandel]]&gt;=H$428,H$428,Tabell2[[#This Row],[Eldreandel]]))</f>
        <v>0.22303194152148736</v>
      </c>
      <c r="R58" s="32">
        <f>IF(Tabell2[[#This Row],[Sysselsettingsvekst10]]&lt;=I$427,I$427,IF(Tabell2[[#This Row],[Sysselsettingsvekst10]]&gt;=I$428,I$428,Tabell2[[#This Row],[Sysselsettingsvekst10]]))</f>
        <v>-7.1962616822429881E-2</v>
      </c>
      <c r="S58" s="32">
        <f>IF(Tabell2[[#This Row],[Yrkesaktivandel]]&lt;=J$427,J$427,IF(Tabell2[[#This Row],[Yrkesaktivandel]]&gt;=J$428,J$428,Tabell2[[#This Row],[Yrkesaktivandel]]))</f>
        <v>0.7970451171433347</v>
      </c>
      <c r="T58" s="67">
        <f>IF(Tabell2[[#This Row],[Inntekt]]&lt;=K$427,K$427,IF(Tabell2[[#This Row],[Inntekt]]&gt;=K$428,K$428,Tabell2[[#This Row],[Inntekt]]))</f>
        <v>359130</v>
      </c>
      <c r="U58" s="10">
        <f>IF(Tabell2[[#This Row],[NIBR11-T]]&lt;=L$430,100,IF(Tabell2[[#This Row],[NIBR11-T]]&gt;=L$429,0,100*(L$429-Tabell2[[#This Row],[NIBR11-T]])/L$432))</f>
        <v>0</v>
      </c>
      <c r="V58" s="10">
        <f>(M$429-Tabell2[[#This Row],[ReisetidOslo-T]])*100/M$432</f>
        <v>53.199775159122048</v>
      </c>
      <c r="W58" s="10">
        <f>100-(N$429-Tabell2[[#This Row],[Beftettotal-T]])*100/N$432</f>
        <v>0</v>
      </c>
      <c r="X58" s="10">
        <f>100-(O$429-Tabell2[[#This Row],[Befvekst10-T]])*100/O$432</f>
        <v>0</v>
      </c>
      <c r="Y58" s="10">
        <f>100-(P$429-Tabell2[[#This Row],[Kvinneandel-T]])*100/P$432</f>
        <v>18.281075914028051</v>
      </c>
      <c r="Z58" s="10">
        <f>(Q$429-Tabell2[[#This Row],[Eldreandel-T]])*100/Q$432</f>
        <v>0</v>
      </c>
      <c r="AA58" s="10">
        <f>100-(R$429-Tabell2[[#This Row],[Sysselsettingsvekst10-T]])*100/R$432</f>
        <v>12.187534151357283</v>
      </c>
      <c r="AB58" s="10">
        <f>100-(S$429-Tabell2[[#This Row],[Yrkesaktivandel-T]])*100/S$432</f>
        <v>0</v>
      </c>
      <c r="AC58" s="10">
        <f>100-(T$429-Tabell2[[#This Row],[Inntekt-T]])*100/T$432</f>
        <v>0</v>
      </c>
      <c r="AD5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7.4527847267493357</v>
      </c>
    </row>
    <row r="59" spans="1:30" x14ac:dyDescent="0.25">
      <c r="A59" s="2" t="s">
        <v>57</v>
      </c>
      <c r="B59" s="2">
        <v>57</v>
      </c>
      <c r="C59">
        <f>'Rådata-K'!N58</f>
        <v>8</v>
      </c>
      <c r="D59" s="30">
        <f>'Rådata-K'!M58</f>
        <v>194.5625</v>
      </c>
      <c r="E59" s="32">
        <f>'Rådata-K'!O58</f>
        <v>0.5843649355877617</v>
      </c>
      <c r="F59" s="32">
        <f>'Rådata-K'!P58</f>
        <v>-9.5863746958637419E-2</v>
      </c>
      <c r="G59" s="32">
        <f>'Rådata-K'!Q58</f>
        <v>7.9655543595263723E-2</v>
      </c>
      <c r="H59" s="32">
        <f>'Rådata-K'!R58</f>
        <v>0.24973089343379978</v>
      </c>
      <c r="I59" s="32">
        <f>'Rådata-K'!S58</f>
        <v>-0.21649484536082475</v>
      </c>
      <c r="J59" s="32">
        <f>'Rådata-K'!T58</f>
        <v>0.86363636363636365</v>
      </c>
      <c r="K59" s="67">
        <f>'Rådata-K'!L58</f>
        <v>348600</v>
      </c>
      <c r="L59" s="18">
        <f>Tabell2[[#This Row],[NIBR11]]</f>
        <v>8</v>
      </c>
      <c r="M59" s="32">
        <f>IF(Tabell2[[#This Row],[ReisetidOslo]]&lt;=D$427,D$427,IF(Tabell2[[#This Row],[ReisetidOslo]]&gt;=D$428,D$428,Tabell2[[#This Row],[ReisetidOslo]]))</f>
        <v>194.5625</v>
      </c>
      <c r="N59" s="32">
        <f>IF(Tabell2[[#This Row],[Beftettotal]]&lt;=E$427,E$427,IF(Tabell2[[#This Row],[Beftettotal]]&gt;=E$428,E$428,Tabell2[[#This Row],[Beftettotal]]))</f>
        <v>1.2454428893921135</v>
      </c>
      <c r="O59" s="32">
        <f>IF(Tabell2[[#This Row],[Befvekst10]]&lt;=F$427,F$427,IF(Tabell2[[#This Row],[Befvekst10]]&gt;=F$428,F$428,Tabell2[[#This Row],[Befvekst10]]))</f>
        <v>-5.4526569027269343E-2</v>
      </c>
      <c r="P59" s="32">
        <f>IF(Tabell2[[#This Row],[Kvinneandel]]&lt;=G$427,G$427,IF(Tabell2[[#This Row],[Kvinneandel]]&gt;=G$428,G$428,Tabell2[[#This Row],[Kvinneandel]]))</f>
        <v>8.9916711250255951E-2</v>
      </c>
      <c r="Q59" s="32">
        <f>IF(Tabell2[[#This Row],[Eldreandel]]&lt;=H$427,H$427,IF(Tabell2[[#This Row],[Eldreandel]]&gt;=H$428,H$428,Tabell2[[#This Row],[Eldreandel]]))</f>
        <v>0.22303194152148736</v>
      </c>
      <c r="R59" s="32">
        <f>IF(Tabell2[[#This Row],[Sysselsettingsvekst10]]&lt;=I$427,I$427,IF(Tabell2[[#This Row],[Sysselsettingsvekst10]]&gt;=I$428,I$428,Tabell2[[#This Row],[Sysselsettingsvekst10]]))</f>
        <v>-0.10679965679965678</v>
      </c>
      <c r="S59" s="32">
        <f>IF(Tabell2[[#This Row],[Yrkesaktivandel]]&lt;=J$427,J$427,IF(Tabell2[[#This Row],[Yrkesaktivandel]]&gt;=J$428,J$428,Tabell2[[#This Row],[Yrkesaktivandel]]))</f>
        <v>0.86363636363636365</v>
      </c>
      <c r="T59" s="67">
        <f>IF(Tabell2[[#This Row],[Inntekt]]&lt;=K$427,K$427,IF(Tabell2[[#This Row],[Inntekt]]&gt;=K$428,K$428,Tabell2[[#This Row],[Inntekt]]))</f>
        <v>359130</v>
      </c>
      <c r="U59" s="10">
        <f>IF(Tabell2[[#This Row],[NIBR11-T]]&lt;=L$430,100,IF(Tabell2[[#This Row],[NIBR11-T]]&gt;=L$429,0,100*(L$429-Tabell2[[#This Row],[NIBR11-T]])/L$432))</f>
        <v>30</v>
      </c>
      <c r="V59" s="10">
        <f>(M$429-Tabell2[[#This Row],[ReisetidOslo-T]])*100/M$432</f>
        <v>39.709322481731689</v>
      </c>
      <c r="W59" s="10">
        <f>100-(N$429-Tabell2[[#This Row],[Beftettotal-T]])*100/N$432</f>
        <v>0</v>
      </c>
      <c r="X59" s="10">
        <f>100-(O$429-Tabell2[[#This Row],[Befvekst10-T]])*100/O$432</f>
        <v>0</v>
      </c>
      <c r="Y59" s="10">
        <f>100-(P$429-Tabell2[[#This Row],[Kvinneandel-T]])*100/P$432</f>
        <v>0</v>
      </c>
      <c r="Z59" s="10">
        <f>(Q$429-Tabell2[[#This Row],[Eldreandel-T]])*100/Q$432</f>
        <v>0</v>
      </c>
      <c r="AA59" s="10">
        <f>100-(R$429-Tabell2[[#This Row],[Sysselsettingsvekst10-T]])*100/R$432</f>
        <v>0</v>
      </c>
      <c r="AB59" s="10">
        <f>100-(S$429-Tabell2[[#This Row],[Yrkesaktivandel-T]])*100/S$432</f>
        <v>51.651091460311903</v>
      </c>
      <c r="AC59" s="10">
        <f>100-(T$429-Tabell2[[#This Row],[Inntekt-T]])*100/T$432</f>
        <v>0</v>
      </c>
      <c r="AD5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15.136041394204359</v>
      </c>
    </row>
    <row r="60" spans="1:30" x14ac:dyDescent="0.25">
      <c r="A60" s="2" t="s">
        <v>58</v>
      </c>
      <c r="B60" s="2">
        <v>58</v>
      </c>
      <c r="C60">
        <f>'Rådata-K'!N59</f>
        <v>9</v>
      </c>
      <c r="D60" s="30">
        <f>'Rådata-K'!M59</f>
        <v>189.125</v>
      </c>
      <c r="E60" s="32">
        <f>'Rådata-K'!O59</f>
        <v>0.58000309577790521</v>
      </c>
      <c r="F60" s="32">
        <f>'Rådata-K'!P59</f>
        <v>-0.12739726027397258</v>
      </c>
      <c r="G60" s="32">
        <f>'Rådata-K'!Q59</f>
        <v>7.4568288854003142E-2</v>
      </c>
      <c r="H60" s="32">
        <f>'Rådata-K'!R59</f>
        <v>0.25745682888540034</v>
      </c>
      <c r="I60" s="32">
        <f>'Rådata-K'!S59</f>
        <v>-0.18927444794952686</v>
      </c>
      <c r="J60" s="32">
        <f>'Rådata-K'!T59</f>
        <v>0.91004497751124436</v>
      </c>
      <c r="K60" s="67">
        <f>'Rådata-K'!L59</f>
        <v>327900</v>
      </c>
      <c r="L60" s="18">
        <f>Tabell2[[#This Row],[NIBR11]]</f>
        <v>9</v>
      </c>
      <c r="M60" s="32">
        <f>IF(Tabell2[[#This Row],[ReisetidOslo]]&lt;=D$427,D$427,IF(Tabell2[[#This Row],[ReisetidOslo]]&gt;=D$428,D$428,Tabell2[[#This Row],[ReisetidOslo]]))</f>
        <v>189.125</v>
      </c>
      <c r="N60" s="32">
        <f>IF(Tabell2[[#This Row],[Beftettotal]]&lt;=E$427,E$427,IF(Tabell2[[#This Row],[Beftettotal]]&gt;=E$428,E$428,Tabell2[[#This Row],[Beftettotal]]))</f>
        <v>1.2454428893921135</v>
      </c>
      <c r="O60" s="32">
        <f>IF(Tabell2[[#This Row],[Befvekst10]]&lt;=F$427,F$427,IF(Tabell2[[#This Row],[Befvekst10]]&gt;=F$428,F$428,Tabell2[[#This Row],[Befvekst10]]))</f>
        <v>-5.4526569027269343E-2</v>
      </c>
      <c r="P60" s="32">
        <f>IF(Tabell2[[#This Row],[Kvinneandel]]&lt;=G$427,G$427,IF(Tabell2[[#This Row],[Kvinneandel]]&gt;=G$428,G$428,Tabell2[[#This Row],[Kvinneandel]]))</f>
        <v>8.9916711250255951E-2</v>
      </c>
      <c r="Q60" s="32">
        <f>IF(Tabell2[[#This Row],[Eldreandel]]&lt;=H$427,H$427,IF(Tabell2[[#This Row],[Eldreandel]]&gt;=H$428,H$428,Tabell2[[#This Row],[Eldreandel]]))</f>
        <v>0.22303194152148736</v>
      </c>
      <c r="R60" s="32">
        <f>IF(Tabell2[[#This Row],[Sysselsettingsvekst10]]&lt;=I$427,I$427,IF(Tabell2[[#This Row],[Sysselsettingsvekst10]]&gt;=I$428,I$428,Tabell2[[#This Row],[Sysselsettingsvekst10]]))</f>
        <v>-0.10679965679965678</v>
      </c>
      <c r="S60" s="32">
        <f>IF(Tabell2[[#This Row],[Yrkesaktivandel]]&lt;=J$427,J$427,IF(Tabell2[[#This Row],[Yrkesaktivandel]]&gt;=J$428,J$428,Tabell2[[#This Row],[Yrkesaktivandel]]))</f>
        <v>0.91004497751124436</v>
      </c>
      <c r="T60" s="67">
        <f>IF(Tabell2[[#This Row],[Inntekt]]&lt;=K$427,K$427,IF(Tabell2[[#This Row],[Inntekt]]&gt;=K$428,K$428,Tabell2[[#This Row],[Inntekt]]))</f>
        <v>359130</v>
      </c>
      <c r="U60" s="10">
        <f>IF(Tabell2[[#This Row],[NIBR11-T]]&lt;=L$430,100,IF(Tabell2[[#This Row],[NIBR11-T]]&gt;=L$429,0,100*(L$429-Tabell2[[#This Row],[NIBR11-T]])/L$432))</f>
        <v>20</v>
      </c>
      <c r="V60" s="10">
        <f>(M$429-Tabell2[[#This Row],[ReisetidOslo-T]])*100/M$432</f>
        <v>42.051975940679718</v>
      </c>
      <c r="W60" s="10">
        <f>100-(N$429-Tabell2[[#This Row],[Beftettotal-T]])*100/N$432</f>
        <v>0</v>
      </c>
      <c r="X60" s="10">
        <f>100-(O$429-Tabell2[[#This Row],[Befvekst10-T]])*100/O$432</f>
        <v>0</v>
      </c>
      <c r="Y60" s="10">
        <f>100-(P$429-Tabell2[[#This Row],[Kvinneandel-T]])*100/P$432</f>
        <v>0</v>
      </c>
      <c r="Z60" s="10">
        <f>(Q$429-Tabell2[[#This Row],[Eldreandel-T]])*100/Q$432</f>
        <v>0</v>
      </c>
      <c r="AA60" s="10">
        <f>100-(R$429-Tabell2[[#This Row],[Sysselsettingsvekst10-T]])*100/R$432</f>
        <v>0</v>
      </c>
      <c r="AB60" s="10">
        <f>100-(S$429-Tabell2[[#This Row],[Yrkesaktivandel-T]])*100/S$432</f>
        <v>87.647647855283395</v>
      </c>
      <c r="AC60" s="10">
        <f>100-(T$429-Tabell2[[#This Row],[Inntekt-T]])*100/T$432</f>
        <v>0</v>
      </c>
      <c r="AD6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16.969962379596311</v>
      </c>
    </row>
    <row r="61" spans="1:30" x14ac:dyDescent="0.25">
      <c r="A61" s="2" t="s">
        <v>59</v>
      </c>
      <c r="B61" s="2">
        <v>59</v>
      </c>
      <c r="C61">
        <f>'Rådata-K'!N60</f>
        <v>8</v>
      </c>
      <c r="D61" s="30">
        <f>'Rådata-K'!M60</f>
        <v>184.9375</v>
      </c>
      <c r="E61" s="32">
        <f>'Rådata-K'!O60</f>
        <v>1.4430914225140077</v>
      </c>
      <c r="F61" s="32">
        <f>'Rådata-K'!P60</f>
        <v>-5.0966608084358489E-2</v>
      </c>
      <c r="G61" s="32">
        <f>'Rådata-K'!Q60</f>
        <v>9.7530864197530862E-2</v>
      </c>
      <c r="H61" s="32">
        <f>'Rådata-K'!R60</f>
        <v>0.17407407407407408</v>
      </c>
      <c r="I61" s="32">
        <f>'Rådata-K'!S60</f>
        <v>3.1695721077653616E-3</v>
      </c>
      <c r="J61" s="32">
        <f>'Rådata-K'!T60</f>
        <v>0.88851727982162765</v>
      </c>
      <c r="K61" s="67">
        <f>'Rådata-K'!L60</f>
        <v>349200</v>
      </c>
      <c r="L61" s="18">
        <f>Tabell2[[#This Row],[NIBR11]]</f>
        <v>8</v>
      </c>
      <c r="M61" s="32">
        <f>IF(Tabell2[[#This Row],[ReisetidOslo]]&lt;=D$427,D$427,IF(Tabell2[[#This Row],[ReisetidOslo]]&gt;=D$428,D$428,Tabell2[[#This Row],[ReisetidOslo]]))</f>
        <v>184.9375</v>
      </c>
      <c r="N61" s="32">
        <f>IF(Tabell2[[#This Row],[Beftettotal]]&lt;=E$427,E$427,IF(Tabell2[[#This Row],[Beftettotal]]&gt;=E$428,E$428,Tabell2[[#This Row],[Beftettotal]]))</f>
        <v>1.4430914225140077</v>
      </c>
      <c r="O61" s="32">
        <f>IF(Tabell2[[#This Row],[Befvekst10]]&lt;=F$427,F$427,IF(Tabell2[[#This Row],[Befvekst10]]&gt;=F$428,F$428,Tabell2[[#This Row],[Befvekst10]]))</f>
        <v>-5.0966608084358489E-2</v>
      </c>
      <c r="P61" s="32">
        <f>IF(Tabell2[[#This Row],[Kvinneandel]]&lt;=G$427,G$427,IF(Tabell2[[#This Row],[Kvinneandel]]&gt;=G$428,G$428,Tabell2[[#This Row],[Kvinneandel]]))</f>
        <v>9.7530864197530862E-2</v>
      </c>
      <c r="Q61" s="32">
        <f>IF(Tabell2[[#This Row],[Eldreandel]]&lt;=H$427,H$427,IF(Tabell2[[#This Row],[Eldreandel]]&gt;=H$428,H$428,Tabell2[[#This Row],[Eldreandel]]))</f>
        <v>0.17407407407407408</v>
      </c>
      <c r="R61" s="32">
        <f>IF(Tabell2[[#This Row],[Sysselsettingsvekst10]]&lt;=I$427,I$427,IF(Tabell2[[#This Row],[Sysselsettingsvekst10]]&gt;=I$428,I$428,Tabell2[[#This Row],[Sysselsettingsvekst10]]))</f>
        <v>3.1695721077653616E-3</v>
      </c>
      <c r="S61" s="32">
        <f>IF(Tabell2[[#This Row],[Yrkesaktivandel]]&lt;=J$427,J$427,IF(Tabell2[[#This Row],[Yrkesaktivandel]]&gt;=J$428,J$428,Tabell2[[#This Row],[Yrkesaktivandel]]))</f>
        <v>0.88851727982162765</v>
      </c>
      <c r="T61" s="67">
        <f>IF(Tabell2[[#This Row],[Inntekt]]&lt;=K$427,K$427,IF(Tabell2[[#This Row],[Inntekt]]&gt;=K$428,K$428,Tabell2[[#This Row],[Inntekt]]))</f>
        <v>359130</v>
      </c>
      <c r="U61" s="10">
        <f>IF(Tabell2[[#This Row],[NIBR11-T]]&lt;=L$430,100,IF(Tabell2[[#This Row],[NIBR11-T]]&gt;=L$429,0,100*(L$429-Tabell2[[#This Row],[NIBR11-T]])/L$432))</f>
        <v>30</v>
      </c>
      <c r="V61" s="10">
        <f>(M$429-Tabell2[[#This Row],[ReisetidOslo-T]])*100/M$432</f>
        <v>43.856088374582221</v>
      </c>
      <c r="W61" s="10">
        <f>100-(N$429-Tabell2[[#This Row],[Beftettotal-T]])*100/N$432</f>
        <v>0.14730861021028829</v>
      </c>
      <c r="X61" s="10">
        <f>100-(O$429-Tabell2[[#This Row],[Befvekst10-T]])*100/O$432</f>
        <v>1.5335414813892214</v>
      </c>
      <c r="Y61" s="10">
        <f>100-(P$429-Tabell2[[#This Row],[Kvinneandel-T]])*100/P$432</f>
        <v>20.111286490223947</v>
      </c>
      <c r="Z61" s="10">
        <f>(Q$429-Tabell2[[#This Row],[Eldreandel-T]])*100/Q$432</f>
        <v>52.806556532422512</v>
      </c>
      <c r="AA61" s="10">
        <f>100-(R$429-Tabell2[[#This Row],[Sysselsettingsvekst10-T]])*100/R$432</f>
        <v>38.472089872841174</v>
      </c>
      <c r="AB61" s="10">
        <f>100-(S$429-Tabell2[[#This Row],[Yrkesaktivandel-T]])*100/S$432</f>
        <v>70.949821326195377</v>
      </c>
      <c r="AC61" s="10">
        <f>100-(T$429-Tabell2[[#This Row],[Inntekt-T]])*100/T$432</f>
        <v>0</v>
      </c>
      <c r="AD6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25.295131265793074</v>
      </c>
    </row>
    <row r="62" spans="1:30" x14ac:dyDescent="0.25">
      <c r="A62" s="2" t="s">
        <v>60</v>
      </c>
      <c r="B62" s="2">
        <v>60</v>
      </c>
      <c r="C62">
        <f>'Rådata-K'!N61</f>
        <v>8</v>
      </c>
      <c r="D62" s="30">
        <f>'Rådata-K'!M61</f>
        <v>201.59375</v>
      </c>
      <c r="E62" s="32">
        <f>'Rådata-K'!O61</f>
        <v>2.9694072352712828</v>
      </c>
      <c r="F62" s="32">
        <f>'Rådata-K'!P61</f>
        <v>3.9657419474958155E-2</v>
      </c>
      <c r="G62" s="32">
        <f>'Rådata-K'!Q61</f>
        <v>0.10422636103151862</v>
      </c>
      <c r="H62" s="32">
        <f>'Rådata-K'!R61</f>
        <v>0.16994985673352436</v>
      </c>
      <c r="I62" s="32">
        <f>'Rådata-K'!S61</f>
        <v>-1.0091453800063044E-2</v>
      </c>
      <c r="J62" s="32">
        <f>'Rådata-K'!T61</f>
        <v>0.92320000000000002</v>
      </c>
      <c r="K62" s="67">
        <f>'Rådata-K'!L61</f>
        <v>378100</v>
      </c>
      <c r="L62" s="18">
        <f>Tabell2[[#This Row],[NIBR11]]</f>
        <v>8</v>
      </c>
      <c r="M62" s="32">
        <f>IF(Tabell2[[#This Row],[ReisetidOslo]]&lt;=D$427,D$427,IF(Tabell2[[#This Row],[ReisetidOslo]]&gt;=D$428,D$428,Tabell2[[#This Row],[ReisetidOslo]]))</f>
        <v>201.59375</v>
      </c>
      <c r="N62" s="32">
        <f>IF(Tabell2[[#This Row],[Beftettotal]]&lt;=E$427,E$427,IF(Tabell2[[#This Row],[Beftettotal]]&gt;=E$428,E$428,Tabell2[[#This Row],[Beftettotal]]))</f>
        <v>2.9694072352712828</v>
      </c>
      <c r="O62" s="32">
        <f>IF(Tabell2[[#This Row],[Befvekst10]]&lt;=F$427,F$427,IF(Tabell2[[#This Row],[Befvekst10]]&gt;=F$428,F$428,Tabell2[[#This Row],[Befvekst10]]))</f>
        <v>3.9657419474958155E-2</v>
      </c>
      <c r="P62" s="32">
        <f>IF(Tabell2[[#This Row],[Kvinneandel]]&lt;=G$427,G$427,IF(Tabell2[[#This Row],[Kvinneandel]]&gt;=G$428,G$428,Tabell2[[#This Row],[Kvinneandel]]))</f>
        <v>0.10422636103151862</v>
      </c>
      <c r="Q62" s="32">
        <f>IF(Tabell2[[#This Row],[Eldreandel]]&lt;=H$427,H$427,IF(Tabell2[[#This Row],[Eldreandel]]&gt;=H$428,H$428,Tabell2[[#This Row],[Eldreandel]]))</f>
        <v>0.16994985673352436</v>
      </c>
      <c r="R62" s="32">
        <f>IF(Tabell2[[#This Row],[Sysselsettingsvekst10]]&lt;=I$427,I$427,IF(Tabell2[[#This Row],[Sysselsettingsvekst10]]&gt;=I$428,I$428,Tabell2[[#This Row],[Sysselsettingsvekst10]]))</f>
        <v>-1.0091453800063044E-2</v>
      </c>
      <c r="S62" s="32">
        <f>IF(Tabell2[[#This Row],[Yrkesaktivandel]]&lt;=J$427,J$427,IF(Tabell2[[#This Row],[Yrkesaktivandel]]&gt;=J$428,J$428,Tabell2[[#This Row],[Yrkesaktivandel]]))</f>
        <v>0.92320000000000002</v>
      </c>
      <c r="T62" s="67">
        <f>IF(Tabell2[[#This Row],[Inntekt]]&lt;=K$427,K$427,IF(Tabell2[[#This Row],[Inntekt]]&gt;=K$428,K$428,Tabell2[[#This Row],[Inntekt]]))</f>
        <v>378100</v>
      </c>
      <c r="U62" s="10">
        <f>IF(Tabell2[[#This Row],[NIBR11-T]]&lt;=L$430,100,IF(Tabell2[[#This Row],[NIBR11-T]]&gt;=L$429,0,100*(L$429-Tabell2[[#This Row],[NIBR11-T]])/L$432))</f>
        <v>30</v>
      </c>
      <c r="V62" s="10">
        <f>(M$429-Tabell2[[#This Row],[ReisetidOslo-T]])*100/M$432</f>
        <v>36.680029215850617</v>
      </c>
      <c r="W62" s="10">
        <f>100-(N$429-Tabell2[[#This Row],[Beftettotal-T]])*100/N$432</f>
        <v>1.2848807316314463</v>
      </c>
      <c r="X62" s="10">
        <f>100-(O$429-Tabell2[[#This Row],[Befvekst10-T]])*100/O$432</f>
        <v>40.572089291730322</v>
      </c>
      <c r="Y62" s="10">
        <f>100-(P$429-Tabell2[[#This Row],[Kvinneandel-T]])*100/P$432</f>
        <v>37.796123655322923</v>
      </c>
      <c r="Z62" s="10">
        <f>(Q$429-Tabell2[[#This Row],[Eldreandel-T]])*100/Q$432</f>
        <v>57.254987959295093</v>
      </c>
      <c r="AA62" s="10">
        <f>100-(R$429-Tabell2[[#This Row],[Sysselsettingsvekst10-T]])*100/R$432</f>
        <v>33.832797721747298</v>
      </c>
      <c r="AB62" s="10">
        <f>100-(S$429-Tabell2[[#This Row],[Yrkesaktivandel-T]])*100/S$432</f>
        <v>97.85126027452695</v>
      </c>
      <c r="AC62" s="10">
        <f>100-(T$429-Tabell2[[#This Row],[Inntekt-T]])*100/T$432</f>
        <v>21.070754193046767</v>
      </c>
      <c r="AD6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37.938945652757276</v>
      </c>
    </row>
    <row r="63" spans="1:30" x14ac:dyDescent="0.25">
      <c r="A63" s="2" t="s">
        <v>61</v>
      </c>
      <c r="B63" s="2">
        <v>61</v>
      </c>
      <c r="C63">
        <f>'Rådata-K'!N62</f>
        <v>8</v>
      </c>
      <c r="D63" s="30">
        <f>'Rådata-K'!M62</f>
        <v>220.375</v>
      </c>
      <c r="E63" s="32">
        <f>'Rådata-K'!O62</f>
        <v>2.590882555856286</v>
      </c>
      <c r="F63" s="32">
        <f>'Rådata-K'!P62</f>
        <v>4.5267489711933173E-3</v>
      </c>
      <c r="G63" s="32">
        <f>'Rådata-K'!Q62</f>
        <v>0.10569438754608768</v>
      </c>
      <c r="H63" s="32">
        <f>'Rådata-K'!R62</f>
        <v>0.16755428103236378</v>
      </c>
      <c r="I63" s="32">
        <f>'Rådata-K'!S62</f>
        <v>0.1261180679785332</v>
      </c>
      <c r="J63" s="32">
        <f>'Rådata-K'!T62</f>
        <v>0.95138369483919227</v>
      </c>
      <c r="K63" s="67">
        <f>'Rådata-K'!L62</f>
        <v>378000</v>
      </c>
      <c r="L63" s="18">
        <f>Tabell2[[#This Row],[NIBR11]]</f>
        <v>8</v>
      </c>
      <c r="M63" s="32">
        <f>IF(Tabell2[[#This Row],[ReisetidOslo]]&lt;=D$427,D$427,IF(Tabell2[[#This Row],[ReisetidOslo]]&gt;=D$428,D$428,Tabell2[[#This Row],[ReisetidOslo]]))</f>
        <v>220.375</v>
      </c>
      <c r="N63" s="32">
        <f>IF(Tabell2[[#This Row],[Beftettotal]]&lt;=E$427,E$427,IF(Tabell2[[#This Row],[Beftettotal]]&gt;=E$428,E$428,Tabell2[[#This Row],[Beftettotal]]))</f>
        <v>2.590882555856286</v>
      </c>
      <c r="O63" s="32">
        <f>IF(Tabell2[[#This Row],[Befvekst10]]&lt;=F$427,F$427,IF(Tabell2[[#This Row],[Befvekst10]]&gt;=F$428,F$428,Tabell2[[#This Row],[Befvekst10]]))</f>
        <v>4.5267489711933173E-3</v>
      </c>
      <c r="P63" s="32">
        <f>IF(Tabell2[[#This Row],[Kvinneandel]]&lt;=G$427,G$427,IF(Tabell2[[#This Row],[Kvinneandel]]&gt;=G$428,G$428,Tabell2[[#This Row],[Kvinneandel]]))</f>
        <v>0.10569438754608768</v>
      </c>
      <c r="Q63" s="32">
        <f>IF(Tabell2[[#This Row],[Eldreandel]]&lt;=H$427,H$427,IF(Tabell2[[#This Row],[Eldreandel]]&gt;=H$428,H$428,Tabell2[[#This Row],[Eldreandel]]))</f>
        <v>0.16755428103236378</v>
      </c>
      <c r="R63" s="32">
        <f>IF(Tabell2[[#This Row],[Sysselsettingsvekst10]]&lt;=I$427,I$427,IF(Tabell2[[#This Row],[Sysselsettingsvekst10]]&gt;=I$428,I$428,Tabell2[[#This Row],[Sysselsettingsvekst10]]))</f>
        <v>0.1261180679785332</v>
      </c>
      <c r="S63" s="32">
        <f>IF(Tabell2[[#This Row],[Yrkesaktivandel]]&lt;=J$427,J$427,IF(Tabell2[[#This Row],[Yrkesaktivandel]]&gt;=J$428,J$428,Tabell2[[#This Row],[Yrkesaktivandel]]))</f>
        <v>0.92597026588718434</v>
      </c>
      <c r="T63" s="67">
        <f>IF(Tabell2[[#This Row],[Inntekt]]&lt;=K$427,K$427,IF(Tabell2[[#This Row],[Inntekt]]&gt;=K$428,K$428,Tabell2[[#This Row],[Inntekt]]))</f>
        <v>378000</v>
      </c>
      <c r="U63" s="10">
        <f>IF(Tabell2[[#This Row],[NIBR11-T]]&lt;=L$430,100,IF(Tabell2[[#This Row],[NIBR11-T]]&gt;=L$429,0,100*(L$429-Tabell2[[#This Row],[NIBR11-T]])/L$432))</f>
        <v>30</v>
      </c>
      <c r="V63" s="10">
        <f>(M$429-Tabell2[[#This Row],[ReisetidOslo-T]])*100/M$432</f>
        <v>28.588450314541632</v>
      </c>
      <c r="W63" s="10">
        <f>100-(N$429-Tabell2[[#This Row],[Beftettotal-T]])*100/N$432</f>
        <v>1.0027640694221276</v>
      </c>
      <c r="X63" s="10">
        <f>100-(O$429-Tabell2[[#This Row],[Befvekst10-T]])*100/O$432</f>
        <v>25.438681552012511</v>
      </c>
      <c r="Y63" s="10">
        <f>100-(P$429-Tabell2[[#This Row],[Kvinneandel-T]])*100/P$432</f>
        <v>41.673626775392201</v>
      </c>
      <c r="Z63" s="10">
        <f>(Q$429-Tabell2[[#This Row],[Eldreandel-T]])*100/Q$432</f>
        <v>59.838885303821243</v>
      </c>
      <c r="AA63" s="10">
        <f>100-(R$429-Tabell2[[#This Row],[Sysselsettingsvekst10-T]])*100/R$432</f>
        <v>81.484900182285614</v>
      </c>
      <c r="AB63" s="10">
        <f>100-(S$429-Tabell2[[#This Row],[Yrkesaktivandel-T]])*100/S$432</f>
        <v>100</v>
      </c>
      <c r="AC63" s="10">
        <f>100-(T$429-Tabell2[[#This Row],[Inntekt-T]])*100/T$432</f>
        <v>20.959680106631126</v>
      </c>
      <c r="AD6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39.366941381651223</v>
      </c>
    </row>
    <row r="64" spans="1:30" x14ac:dyDescent="0.25">
      <c r="A64" s="2" t="s">
        <v>62</v>
      </c>
      <c r="B64" s="2">
        <v>62</v>
      </c>
      <c r="C64">
        <f>'Rådata-K'!N63</f>
        <v>8</v>
      </c>
      <c r="D64" s="30">
        <f>'Rådata-K'!M63</f>
        <v>234.125</v>
      </c>
      <c r="E64" s="32">
        <f>'Rådata-K'!O63</f>
        <v>1.235041664056137</v>
      </c>
      <c r="F64" s="32">
        <f>'Rådata-K'!P63</f>
        <v>-6.9616519174041325E-2</v>
      </c>
      <c r="G64" s="32">
        <f>'Rådata-K'!Q63</f>
        <v>7.9264426125554857E-2</v>
      </c>
      <c r="H64" s="32">
        <f>'Rådata-K'!R63</f>
        <v>0.24540266328471783</v>
      </c>
      <c r="I64" s="32">
        <f>'Rådata-K'!S63</f>
        <v>-0.17292225201072386</v>
      </c>
      <c r="J64" s="32">
        <f>'Rådata-K'!T63</f>
        <v>0.94038929440389296</v>
      </c>
      <c r="K64" s="67">
        <f>'Rådata-K'!L63</f>
        <v>353800</v>
      </c>
      <c r="L64" s="18">
        <f>Tabell2[[#This Row],[NIBR11]]</f>
        <v>8</v>
      </c>
      <c r="M64" s="32">
        <f>IF(Tabell2[[#This Row],[ReisetidOslo]]&lt;=D$427,D$427,IF(Tabell2[[#This Row],[ReisetidOslo]]&gt;=D$428,D$428,Tabell2[[#This Row],[ReisetidOslo]]))</f>
        <v>234.125</v>
      </c>
      <c r="N64" s="32">
        <f>IF(Tabell2[[#This Row],[Beftettotal]]&lt;=E$427,E$427,IF(Tabell2[[#This Row],[Beftettotal]]&gt;=E$428,E$428,Tabell2[[#This Row],[Beftettotal]]))</f>
        <v>1.2454428893921135</v>
      </c>
      <c r="O64" s="32">
        <f>IF(Tabell2[[#This Row],[Befvekst10]]&lt;=F$427,F$427,IF(Tabell2[[#This Row],[Befvekst10]]&gt;=F$428,F$428,Tabell2[[#This Row],[Befvekst10]]))</f>
        <v>-5.4526569027269343E-2</v>
      </c>
      <c r="P64" s="32">
        <f>IF(Tabell2[[#This Row],[Kvinneandel]]&lt;=G$427,G$427,IF(Tabell2[[#This Row],[Kvinneandel]]&gt;=G$428,G$428,Tabell2[[#This Row],[Kvinneandel]]))</f>
        <v>8.9916711250255951E-2</v>
      </c>
      <c r="Q64" s="32">
        <f>IF(Tabell2[[#This Row],[Eldreandel]]&lt;=H$427,H$427,IF(Tabell2[[#This Row],[Eldreandel]]&gt;=H$428,H$428,Tabell2[[#This Row],[Eldreandel]]))</f>
        <v>0.22303194152148736</v>
      </c>
      <c r="R64" s="32">
        <f>IF(Tabell2[[#This Row],[Sysselsettingsvekst10]]&lt;=I$427,I$427,IF(Tabell2[[#This Row],[Sysselsettingsvekst10]]&gt;=I$428,I$428,Tabell2[[#This Row],[Sysselsettingsvekst10]]))</f>
        <v>-0.10679965679965678</v>
      </c>
      <c r="S64" s="32">
        <f>IF(Tabell2[[#This Row],[Yrkesaktivandel]]&lt;=J$427,J$427,IF(Tabell2[[#This Row],[Yrkesaktivandel]]&gt;=J$428,J$428,Tabell2[[#This Row],[Yrkesaktivandel]]))</f>
        <v>0.92597026588718434</v>
      </c>
      <c r="T64" s="67">
        <f>IF(Tabell2[[#This Row],[Inntekt]]&lt;=K$427,K$427,IF(Tabell2[[#This Row],[Inntekt]]&gt;=K$428,K$428,Tabell2[[#This Row],[Inntekt]]))</f>
        <v>359130</v>
      </c>
      <c r="U64" s="10">
        <f>IF(Tabell2[[#This Row],[NIBR11-T]]&lt;=L$430,100,IF(Tabell2[[#This Row],[NIBR11-T]]&gt;=L$429,0,100*(L$429-Tabell2[[#This Row],[NIBR11-T]])/L$432))</f>
        <v>30</v>
      </c>
      <c r="V64" s="10">
        <f>(M$429-Tabell2[[#This Row],[ReisetidOslo-T]])*100/M$432</f>
        <v>22.664499039040873</v>
      </c>
      <c r="W64" s="10">
        <f>100-(N$429-Tabell2[[#This Row],[Beftettotal-T]])*100/N$432</f>
        <v>0</v>
      </c>
      <c r="X64" s="10">
        <f>100-(O$429-Tabell2[[#This Row],[Befvekst10-T]])*100/O$432</f>
        <v>0</v>
      </c>
      <c r="Y64" s="10">
        <f>100-(P$429-Tabell2[[#This Row],[Kvinneandel-T]])*100/P$432</f>
        <v>0</v>
      </c>
      <c r="Z64" s="10">
        <f>(Q$429-Tabell2[[#This Row],[Eldreandel-T]])*100/Q$432</f>
        <v>0</v>
      </c>
      <c r="AA64" s="10">
        <f>100-(R$429-Tabell2[[#This Row],[Sysselsettingsvekst10-T]])*100/R$432</f>
        <v>0</v>
      </c>
      <c r="AB64" s="10">
        <f>100-(S$429-Tabell2[[#This Row],[Yrkesaktivandel-T]])*100/S$432</f>
        <v>100</v>
      </c>
      <c r="AC64" s="10">
        <f>100-(T$429-Tabell2[[#This Row],[Inntekt-T]])*100/T$432</f>
        <v>0</v>
      </c>
      <c r="AD6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18.266449903904089</v>
      </c>
    </row>
    <row r="65" spans="1:30" x14ac:dyDescent="0.25">
      <c r="A65" s="2" t="s">
        <v>63</v>
      </c>
      <c r="B65" s="2">
        <v>63</v>
      </c>
      <c r="C65">
        <f>'Rådata-K'!N64</f>
        <v>9</v>
      </c>
      <c r="D65" s="30">
        <f>'Rådata-K'!M64</f>
        <v>170.28125</v>
      </c>
      <c r="E65" s="32">
        <f>'Rådata-K'!O64</f>
        <v>1.8867743175701652</v>
      </c>
      <c r="F65" s="32">
        <f>'Rådata-K'!P64</f>
        <v>-4.8473097430925871E-2</v>
      </c>
      <c r="G65" s="32">
        <f>'Rådata-K'!Q64</f>
        <v>9.5262353540499237E-2</v>
      </c>
      <c r="H65" s="32">
        <f>'Rådata-K'!R64</f>
        <v>0.2022414671421294</v>
      </c>
      <c r="I65" s="32">
        <f>'Rådata-K'!S64</f>
        <v>-6.7173637515842821E-2</v>
      </c>
      <c r="J65" s="32">
        <f>'Rådata-K'!T64</f>
        <v>0.95272727272727276</v>
      </c>
      <c r="K65" s="67">
        <f>'Rådata-K'!L64</f>
        <v>354700</v>
      </c>
      <c r="L65" s="18">
        <f>Tabell2[[#This Row],[NIBR11]]</f>
        <v>9</v>
      </c>
      <c r="M65" s="32">
        <f>IF(Tabell2[[#This Row],[ReisetidOslo]]&lt;=D$427,D$427,IF(Tabell2[[#This Row],[ReisetidOslo]]&gt;=D$428,D$428,Tabell2[[#This Row],[ReisetidOslo]]))</f>
        <v>170.28125</v>
      </c>
      <c r="N65" s="32">
        <f>IF(Tabell2[[#This Row],[Beftettotal]]&lt;=E$427,E$427,IF(Tabell2[[#This Row],[Beftettotal]]&gt;=E$428,E$428,Tabell2[[#This Row],[Beftettotal]]))</f>
        <v>1.8867743175701652</v>
      </c>
      <c r="O65" s="32">
        <f>IF(Tabell2[[#This Row],[Befvekst10]]&lt;=F$427,F$427,IF(Tabell2[[#This Row],[Befvekst10]]&gt;=F$428,F$428,Tabell2[[#This Row],[Befvekst10]]))</f>
        <v>-4.8473097430925871E-2</v>
      </c>
      <c r="P65" s="32">
        <f>IF(Tabell2[[#This Row],[Kvinneandel]]&lt;=G$427,G$427,IF(Tabell2[[#This Row],[Kvinneandel]]&gt;=G$428,G$428,Tabell2[[#This Row],[Kvinneandel]]))</f>
        <v>9.5262353540499237E-2</v>
      </c>
      <c r="Q65" s="32">
        <f>IF(Tabell2[[#This Row],[Eldreandel]]&lt;=H$427,H$427,IF(Tabell2[[#This Row],[Eldreandel]]&gt;=H$428,H$428,Tabell2[[#This Row],[Eldreandel]]))</f>
        <v>0.2022414671421294</v>
      </c>
      <c r="R65" s="32">
        <f>IF(Tabell2[[#This Row],[Sysselsettingsvekst10]]&lt;=I$427,I$427,IF(Tabell2[[#This Row],[Sysselsettingsvekst10]]&gt;=I$428,I$428,Tabell2[[#This Row],[Sysselsettingsvekst10]]))</f>
        <v>-6.7173637515842821E-2</v>
      </c>
      <c r="S65" s="32">
        <f>IF(Tabell2[[#This Row],[Yrkesaktivandel]]&lt;=J$427,J$427,IF(Tabell2[[#This Row],[Yrkesaktivandel]]&gt;=J$428,J$428,Tabell2[[#This Row],[Yrkesaktivandel]]))</f>
        <v>0.92597026588718434</v>
      </c>
      <c r="T65" s="67">
        <f>IF(Tabell2[[#This Row],[Inntekt]]&lt;=K$427,K$427,IF(Tabell2[[#This Row],[Inntekt]]&gt;=K$428,K$428,Tabell2[[#This Row],[Inntekt]]))</f>
        <v>359130</v>
      </c>
      <c r="U65" s="10">
        <f>IF(Tabell2[[#This Row],[NIBR11-T]]&lt;=L$430,100,IF(Tabell2[[#This Row],[NIBR11-T]]&gt;=L$429,0,100*(L$429-Tabell2[[#This Row],[NIBR11-T]])/L$432))</f>
        <v>20</v>
      </c>
      <c r="V65" s="10">
        <f>(M$429-Tabell2[[#This Row],[ReisetidOslo-T]])*100/M$432</f>
        <v>50.170481893240982</v>
      </c>
      <c r="W65" s="10">
        <f>100-(N$429-Tabell2[[#This Row],[Beftettotal-T]])*100/N$432</f>
        <v>0.47798807244788577</v>
      </c>
      <c r="X65" s="10">
        <f>100-(O$429-Tabell2[[#This Row],[Befvekst10-T]])*100/O$432</f>
        <v>2.6076830471666881</v>
      </c>
      <c r="Y65" s="10">
        <f>100-(P$429-Tabell2[[#This Row],[Kvinneandel-T]])*100/P$432</f>
        <v>14.119462048869977</v>
      </c>
      <c r="Z65" s="10">
        <f>(Q$429-Tabell2[[#This Row],[Eldreandel-T]])*100/Q$432</f>
        <v>22.424860760708132</v>
      </c>
      <c r="AA65" s="10">
        <f>100-(R$429-Tabell2[[#This Row],[Sysselsettingsvekst10-T]])*100/R$432</f>
        <v>13.862930479154585</v>
      </c>
      <c r="AB65" s="10">
        <f>100-(S$429-Tabell2[[#This Row],[Yrkesaktivandel-T]])*100/S$432</f>
        <v>100</v>
      </c>
      <c r="AC65" s="10">
        <f>100-(T$429-Tabell2[[#This Row],[Inntekt-T]])*100/T$432</f>
        <v>0</v>
      </c>
      <c r="AD6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22.799892794396587</v>
      </c>
    </row>
    <row r="66" spans="1:30" x14ac:dyDescent="0.25">
      <c r="A66" s="2" t="s">
        <v>64</v>
      </c>
      <c r="B66" s="2">
        <v>64</v>
      </c>
      <c r="C66">
        <f>'Rådata-K'!N65</f>
        <v>4</v>
      </c>
      <c r="D66" s="30">
        <f>'Rådata-K'!M65</f>
        <v>127.03125</v>
      </c>
      <c r="E66" s="32">
        <f>'Rådata-K'!O65</f>
        <v>58.098584185540709</v>
      </c>
      <c r="F66" s="32">
        <f>'Rådata-K'!P65</f>
        <v>8.7872498727336712E-2</v>
      </c>
      <c r="G66" s="32">
        <f>'Rådata-K'!Q65</f>
        <v>0.12897303912746122</v>
      </c>
      <c r="H66" s="32">
        <f>'Rådata-K'!R65</f>
        <v>0.17184406608833375</v>
      </c>
      <c r="I66" s="32">
        <f>'Rådata-K'!S65</f>
        <v>9.5833333333333437E-2</v>
      </c>
      <c r="J66" s="32">
        <f>'Rådata-K'!T65</f>
        <v>0.8632347527303964</v>
      </c>
      <c r="K66" s="67">
        <f>'Rådata-K'!L65</f>
        <v>418900</v>
      </c>
      <c r="L66" s="18">
        <f>Tabell2[[#This Row],[NIBR11]]</f>
        <v>4</v>
      </c>
      <c r="M66" s="32">
        <f>IF(Tabell2[[#This Row],[ReisetidOslo]]&lt;=D$427,D$427,IF(Tabell2[[#This Row],[ReisetidOslo]]&gt;=D$428,D$428,Tabell2[[#This Row],[ReisetidOslo]]))</f>
        <v>127.03125</v>
      </c>
      <c r="N66" s="32">
        <f>IF(Tabell2[[#This Row],[Beftettotal]]&lt;=E$427,E$427,IF(Tabell2[[#This Row],[Beftettotal]]&gt;=E$428,E$428,Tabell2[[#This Row],[Beftettotal]]))</f>
        <v>58.098584185540709</v>
      </c>
      <c r="O66" s="32">
        <f>IF(Tabell2[[#This Row],[Befvekst10]]&lt;=F$427,F$427,IF(Tabell2[[#This Row],[Befvekst10]]&gt;=F$428,F$428,Tabell2[[#This Row],[Befvekst10]]))</f>
        <v>8.7872498727336712E-2</v>
      </c>
      <c r="P66" s="32">
        <f>IF(Tabell2[[#This Row],[Kvinneandel]]&lt;=G$427,G$427,IF(Tabell2[[#This Row],[Kvinneandel]]&gt;=G$428,G$428,Tabell2[[#This Row],[Kvinneandel]]))</f>
        <v>0.12777681011054584</v>
      </c>
      <c r="Q66" s="32">
        <f>IF(Tabell2[[#This Row],[Eldreandel]]&lt;=H$427,H$427,IF(Tabell2[[#This Row],[Eldreandel]]&gt;=H$428,H$428,Tabell2[[#This Row],[Eldreandel]]))</f>
        <v>0.17184406608833375</v>
      </c>
      <c r="R66" s="32">
        <f>IF(Tabell2[[#This Row],[Sysselsettingsvekst10]]&lt;=I$427,I$427,IF(Tabell2[[#This Row],[Sysselsettingsvekst10]]&gt;=I$428,I$428,Tabell2[[#This Row],[Sysselsettingsvekst10]]))</f>
        <v>9.5833333333333437E-2</v>
      </c>
      <c r="S66" s="32">
        <f>IF(Tabell2[[#This Row],[Yrkesaktivandel]]&lt;=J$427,J$427,IF(Tabell2[[#This Row],[Yrkesaktivandel]]&gt;=J$428,J$428,Tabell2[[#This Row],[Yrkesaktivandel]]))</f>
        <v>0.8632347527303964</v>
      </c>
      <c r="T66" s="67">
        <f>IF(Tabell2[[#This Row],[Inntekt]]&lt;=K$427,K$427,IF(Tabell2[[#This Row],[Inntekt]]&gt;=K$428,K$428,Tabell2[[#This Row],[Inntekt]]))</f>
        <v>418900</v>
      </c>
      <c r="U66" s="10">
        <f>IF(Tabell2[[#This Row],[NIBR11-T]]&lt;=L$430,100,IF(Tabell2[[#This Row],[NIBR11-T]]&gt;=L$429,0,100*(L$429-Tabell2[[#This Row],[NIBR11-T]])/L$432))</f>
        <v>70</v>
      </c>
      <c r="V66" s="10">
        <f>(M$429-Tabell2[[#This Row],[ReisetidOslo-T]])*100/M$432</f>
        <v>68.804001359816098</v>
      </c>
      <c r="W66" s="10">
        <f>100-(N$429-Tabell2[[#This Row],[Beftettotal-T]])*100/N$432</f>
        <v>42.3729794405277</v>
      </c>
      <c r="X66" s="10">
        <f>100-(O$429-Tabell2[[#This Row],[Befvekst10-T]])*100/O$432</f>
        <v>61.341930660139688</v>
      </c>
      <c r="Y66" s="10">
        <f>100-(P$429-Tabell2[[#This Row],[Kvinneandel-T]])*100/P$432</f>
        <v>100</v>
      </c>
      <c r="Z66" s="10">
        <f>(Q$429-Tabell2[[#This Row],[Eldreandel-T]])*100/Q$432</f>
        <v>55.211870507612254</v>
      </c>
      <c r="AA66" s="10">
        <f>100-(R$429-Tabell2[[#This Row],[Sysselsettingsvekst10-T]])*100/R$432</f>
        <v>70.889963356583863</v>
      </c>
      <c r="AB66" s="10">
        <f>100-(S$429-Tabell2[[#This Row],[Yrkesaktivandel-T]])*100/S$432</f>
        <v>51.339584427060259</v>
      </c>
      <c r="AC66" s="10">
        <f>100-(T$429-Tabell2[[#This Row],[Inntekt-T]])*100/T$432</f>
        <v>66.388981450627568</v>
      </c>
      <c r="AD6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64.008530660870093</v>
      </c>
    </row>
    <row r="67" spans="1:30" x14ac:dyDescent="0.25">
      <c r="A67" s="2" t="s">
        <v>65</v>
      </c>
      <c r="B67" s="2">
        <v>65</v>
      </c>
      <c r="C67">
        <f>'Rådata-K'!N66</f>
        <v>4</v>
      </c>
      <c r="D67" s="30">
        <f>'Rådata-K'!M66</f>
        <v>105.71875</v>
      </c>
      <c r="E67" s="32">
        <f>'Rådata-K'!O66</f>
        <v>45.100780959464487</v>
      </c>
      <c r="F67" s="32">
        <f>'Rådata-K'!P66</f>
        <v>8.5496401847409587E-2</v>
      </c>
      <c r="G67" s="32">
        <f>'Rådata-K'!Q66</f>
        <v>0.11966093868531284</v>
      </c>
      <c r="H67" s="32">
        <f>'Rådata-K'!R66</f>
        <v>0.16765064810844685</v>
      </c>
      <c r="I67" s="32">
        <f>'Rådata-K'!S66</f>
        <v>6.1972371450498942E-2</v>
      </c>
      <c r="J67" s="32">
        <f>'Rådata-K'!T66</f>
        <v>0.82844192634560909</v>
      </c>
      <c r="K67" s="67">
        <f>'Rådata-K'!L66</f>
        <v>395300</v>
      </c>
      <c r="L67" s="18">
        <f>Tabell2[[#This Row],[NIBR11]]</f>
        <v>4</v>
      </c>
      <c r="M67" s="32">
        <f>IF(Tabell2[[#This Row],[ReisetidOslo]]&lt;=D$427,D$427,IF(Tabell2[[#This Row],[ReisetidOslo]]&gt;=D$428,D$428,Tabell2[[#This Row],[ReisetidOslo]]))</f>
        <v>105.71875</v>
      </c>
      <c r="N67" s="32">
        <f>IF(Tabell2[[#This Row],[Beftettotal]]&lt;=E$427,E$427,IF(Tabell2[[#This Row],[Beftettotal]]&gt;=E$428,E$428,Tabell2[[#This Row],[Beftettotal]]))</f>
        <v>45.100780959464487</v>
      </c>
      <c r="O67" s="32">
        <f>IF(Tabell2[[#This Row],[Befvekst10]]&lt;=F$427,F$427,IF(Tabell2[[#This Row],[Befvekst10]]&gt;=F$428,F$428,Tabell2[[#This Row],[Befvekst10]]))</f>
        <v>8.5496401847409587E-2</v>
      </c>
      <c r="P67" s="32">
        <f>IF(Tabell2[[#This Row],[Kvinneandel]]&lt;=G$427,G$427,IF(Tabell2[[#This Row],[Kvinneandel]]&gt;=G$428,G$428,Tabell2[[#This Row],[Kvinneandel]]))</f>
        <v>0.11966093868531284</v>
      </c>
      <c r="Q67" s="32">
        <f>IF(Tabell2[[#This Row],[Eldreandel]]&lt;=H$427,H$427,IF(Tabell2[[#This Row],[Eldreandel]]&gt;=H$428,H$428,Tabell2[[#This Row],[Eldreandel]]))</f>
        <v>0.16765064810844685</v>
      </c>
      <c r="R67" s="32">
        <f>IF(Tabell2[[#This Row],[Sysselsettingsvekst10]]&lt;=I$427,I$427,IF(Tabell2[[#This Row],[Sysselsettingsvekst10]]&gt;=I$428,I$428,Tabell2[[#This Row],[Sysselsettingsvekst10]]))</f>
        <v>6.1972371450498942E-2</v>
      </c>
      <c r="S67" s="32">
        <f>IF(Tabell2[[#This Row],[Yrkesaktivandel]]&lt;=J$427,J$427,IF(Tabell2[[#This Row],[Yrkesaktivandel]]&gt;=J$428,J$428,Tabell2[[#This Row],[Yrkesaktivandel]]))</f>
        <v>0.82844192634560909</v>
      </c>
      <c r="T67" s="67">
        <f>IF(Tabell2[[#This Row],[Inntekt]]&lt;=K$427,K$427,IF(Tabell2[[#This Row],[Inntekt]]&gt;=K$428,K$428,Tabell2[[#This Row],[Inntekt]]))</f>
        <v>395300</v>
      </c>
      <c r="U67" s="10">
        <f>IF(Tabell2[[#This Row],[NIBR11-T]]&lt;=L$430,100,IF(Tabell2[[#This Row],[NIBR11-T]]&gt;=L$429,0,100*(L$429-Tabell2[[#This Row],[NIBR11-T]])/L$432))</f>
        <v>70</v>
      </c>
      <c r="V67" s="10">
        <f>(M$429-Tabell2[[#This Row],[ReisetidOslo-T]])*100/M$432</f>
        <v>77.986125836842263</v>
      </c>
      <c r="W67" s="10">
        <f>100-(N$429-Tabell2[[#This Row],[Beftettotal-T]])*100/N$432</f>
        <v>32.685640512293972</v>
      </c>
      <c r="X67" s="10">
        <f>100-(O$429-Tabell2[[#This Row],[Befvekst10-T]])*100/O$432</f>
        <v>60.318367989761533</v>
      </c>
      <c r="Y67" s="10">
        <f>100-(P$429-Tabell2[[#This Row],[Kvinneandel-T]])*100/P$432</f>
        <v>78.563522892050742</v>
      </c>
      <c r="Z67" s="10">
        <f>(Q$429-Tabell2[[#This Row],[Eldreandel-T]])*100/Q$432</f>
        <v>59.734942593152496</v>
      </c>
      <c r="AA67" s="10">
        <f>100-(R$429-Tabell2[[#This Row],[Sysselsettingsvekst10-T]])*100/R$432</f>
        <v>59.043904402820161</v>
      </c>
      <c r="AB67" s="10">
        <f>100-(S$429-Tabell2[[#This Row],[Yrkesaktivandel-T]])*100/S$432</f>
        <v>24.352742275794483</v>
      </c>
      <c r="AC67" s="10">
        <f>100-(T$429-Tabell2[[#This Row],[Inntekt-T]])*100/T$432</f>
        <v>40.175497056536713</v>
      </c>
      <c r="AD6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56.402987880641227</v>
      </c>
    </row>
    <row r="68" spans="1:30" x14ac:dyDescent="0.25">
      <c r="A68" s="2" t="s">
        <v>66</v>
      </c>
      <c r="B68" s="2">
        <v>66</v>
      </c>
      <c r="C68">
        <f>'Rådata-K'!N67</f>
        <v>10</v>
      </c>
      <c r="D68" s="30">
        <f>'Rådata-K'!M67</f>
        <v>239.96875</v>
      </c>
      <c r="E68" s="32">
        <f>'Rådata-K'!O67</f>
        <v>1.9605831177302675</v>
      </c>
      <c r="F68" s="32">
        <f>'Rådata-K'!P67</f>
        <v>-4.8719772403982953E-2</v>
      </c>
      <c r="G68" s="32">
        <f>'Rådata-K'!Q67</f>
        <v>9.2336448598130838E-2</v>
      </c>
      <c r="H68" s="32">
        <f>'Rådata-K'!R67</f>
        <v>0.2142056074766355</v>
      </c>
      <c r="I68" s="32">
        <f>'Rådata-K'!S67</f>
        <v>-9.4759511844939026E-2</v>
      </c>
      <c r="J68" s="32">
        <f>'Rådata-K'!T67</f>
        <v>0.87363387978142082</v>
      </c>
      <c r="K68" s="67">
        <f>'Rådata-K'!L67</f>
        <v>358100</v>
      </c>
      <c r="L68" s="18">
        <f>Tabell2[[#This Row],[NIBR11]]</f>
        <v>10</v>
      </c>
      <c r="M68" s="32">
        <f>IF(Tabell2[[#This Row],[ReisetidOslo]]&lt;=D$427,D$427,IF(Tabell2[[#This Row],[ReisetidOslo]]&gt;=D$428,D$428,Tabell2[[#This Row],[ReisetidOslo]]))</f>
        <v>239.96875</v>
      </c>
      <c r="N68" s="32">
        <f>IF(Tabell2[[#This Row],[Beftettotal]]&lt;=E$427,E$427,IF(Tabell2[[#This Row],[Beftettotal]]&gt;=E$428,E$428,Tabell2[[#This Row],[Beftettotal]]))</f>
        <v>1.9605831177302675</v>
      </c>
      <c r="O68" s="32">
        <f>IF(Tabell2[[#This Row],[Befvekst10]]&lt;=F$427,F$427,IF(Tabell2[[#This Row],[Befvekst10]]&gt;=F$428,F$428,Tabell2[[#This Row],[Befvekst10]]))</f>
        <v>-4.8719772403982953E-2</v>
      </c>
      <c r="P68" s="32">
        <f>IF(Tabell2[[#This Row],[Kvinneandel]]&lt;=G$427,G$427,IF(Tabell2[[#This Row],[Kvinneandel]]&gt;=G$428,G$428,Tabell2[[#This Row],[Kvinneandel]]))</f>
        <v>9.2336448598130838E-2</v>
      </c>
      <c r="Q68" s="32">
        <f>IF(Tabell2[[#This Row],[Eldreandel]]&lt;=H$427,H$427,IF(Tabell2[[#This Row],[Eldreandel]]&gt;=H$428,H$428,Tabell2[[#This Row],[Eldreandel]]))</f>
        <v>0.2142056074766355</v>
      </c>
      <c r="R68" s="32">
        <f>IF(Tabell2[[#This Row],[Sysselsettingsvekst10]]&lt;=I$427,I$427,IF(Tabell2[[#This Row],[Sysselsettingsvekst10]]&gt;=I$428,I$428,Tabell2[[#This Row],[Sysselsettingsvekst10]]))</f>
        <v>-9.4759511844939026E-2</v>
      </c>
      <c r="S68" s="32">
        <f>IF(Tabell2[[#This Row],[Yrkesaktivandel]]&lt;=J$427,J$427,IF(Tabell2[[#This Row],[Yrkesaktivandel]]&gt;=J$428,J$428,Tabell2[[#This Row],[Yrkesaktivandel]]))</f>
        <v>0.87363387978142082</v>
      </c>
      <c r="T68" s="67">
        <f>IF(Tabell2[[#This Row],[Inntekt]]&lt;=K$427,K$427,IF(Tabell2[[#This Row],[Inntekt]]&gt;=K$428,K$428,Tabell2[[#This Row],[Inntekt]]))</f>
        <v>359130</v>
      </c>
      <c r="U68" s="10">
        <f>IF(Tabell2[[#This Row],[NIBR11-T]]&lt;=L$430,100,IF(Tabell2[[#This Row],[NIBR11-T]]&gt;=L$429,0,100*(L$429-Tabell2[[#This Row],[NIBR11-T]])/L$432))</f>
        <v>10</v>
      </c>
      <c r="V68" s="10">
        <f>(M$429-Tabell2[[#This Row],[ReisetidOslo-T]])*100/M$432</f>
        <v>20.146819746953053</v>
      </c>
      <c r="W68" s="10">
        <f>100-(N$429-Tabell2[[#This Row],[Beftettotal-T]])*100/N$432</f>
        <v>0.53299820382166274</v>
      </c>
      <c r="X68" s="10">
        <f>100-(O$429-Tabell2[[#This Row],[Befvekst10-T]])*100/O$432</f>
        <v>2.5014216837219863</v>
      </c>
      <c r="Y68" s="10">
        <f>100-(P$429-Tabell2[[#This Row],[Kvinneandel-T]])*100/P$432</f>
        <v>6.3912599827172158</v>
      </c>
      <c r="Z68" s="10">
        <f>(Q$429-Tabell2[[#This Row],[Eldreandel-T]])*100/Q$432</f>
        <v>9.5201921982028921</v>
      </c>
      <c r="AA68" s="10">
        <f>100-(R$429-Tabell2[[#This Row],[Sysselsettingsvekst10-T]])*100/R$432</f>
        <v>4.2121741089036107</v>
      </c>
      <c r="AB68" s="10">
        <f>100-(S$429-Tabell2[[#This Row],[Yrkesaktivandel-T]])*100/S$432</f>
        <v>59.405603471711935</v>
      </c>
      <c r="AC68" s="10">
        <f>100-(T$429-Tabell2[[#This Row],[Inntekt-T]])*100/T$432</f>
        <v>0</v>
      </c>
      <c r="AD6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11.72561649892943</v>
      </c>
    </row>
    <row r="69" spans="1:30" x14ac:dyDescent="0.25">
      <c r="A69" s="2" t="s">
        <v>67</v>
      </c>
      <c r="B69" s="2">
        <v>67</v>
      </c>
      <c r="C69">
        <f>'Rådata-K'!N68</f>
        <v>10</v>
      </c>
      <c r="D69" s="30">
        <f>'Rådata-K'!M68</f>
        <v>261.9375</v>
      </c>
      <c r="E69" s="32">
        <f>'Rådata-K'!O68</f>
        <v>0.90639522018145613</v>
      </c>
      <c r="F69" s="32">
        <f>'Rådata-K'!P68</f>
        <v>-4.7441860465116226E-2</v>
      </c>
      <c r="G69" s="32">
        <f>'Rådata-K'!Q68</f>
        <v>9.326171875E-2</v>
      </c>
      <c r="H69" s="32">
        <f>'Rådata-K'!R68</f>
        <v>0.19921875</v>
      </c>
      <c r="I69" s="32">
        <f>'Rådata-K'!S68</f>
        <v>-0.14613778705636749</v>
      </c>
      <c r="J69" s="32">
        <f>'Rådata-K'!T68</f>
        <v>0.94626593806921677</v>
      </c>
      <c r="K69" s="67">
        <f>'Rådata-K'!L68</f>
        <v>388600</v>
      </c>
      <c r="L69" s="18">
        <f>Tabell2[[#This Row],[NIBR11]]</f>
        <v>10</v>
      </c>
      <c r="M69" s="32">
        <f>IF(Tabell2[[#This Row],[ReisetidOslo]]&lt;=D$427,D$427,IF(Tabell2[[#This Row],[ReisetidOslo]]&gt;=D$428,D$428,Tabell2[[#This Row],[ReisetidOslo]]))</f>
        <v>261.9375</v>
      </c>
      <c r="N69" s="32">
        <f>IF(Tabell2[[#This Row],[Beftettotal]]&lt;=E$427,E$427,IF(Tabell2[[#This Row],[Beftettotal]]&gt;=E$428,E$428,Tabell2[[#This Row],[Beftettotal]]))</f>
        <v>1.2454428893921135</v>
      </c>
      <c r="O69" s="32">
        <f>IF(Tabell2[[#This Row],[Befvekst10]]&lt;=F$427,F$427,IF(Tabell2[[#This Row],[Befvekst10]]&gt;=F$428,F$428,Tabell2[[#This Row],[Befvekst10]]))</f>
        <v>-4.7441860465116226E-2</v>
      </c>
      <c r="P69" s="32">
        <f>IF(Tabell2[[#This Row],[Kvinneandel]]&lt;=G$427,G$427,IF(Tabell2[[#This Row],[Kvinneandel]]&gt;=G$428,G$428,Tabell2[[#This Row],[Kvinneandel]]))</f>
        <v>9.326171875E-2</v>
      </c>
      <c r="Q69" s="32">
        <f>IF(Tabell2[[#This Row],[Eldreandel]]&lt;=H$427,H$427,IF(Tabell2[[#This Row],[Eldreandel]]&gt;=H$428,H$428,Tabell2[[#This Row],[Eldreandel]]))</f>
        <v>0.19921875</v>
      </c>
      <c r="R69" s="32">
        <f>IF(Tabell2[[#This Row],[Sysselsettingsvekst10]]&lt;=I$427,I$427,IF(Tabell2[[#This Row],[Sysselsettingsvekst10]]&gt;=I$428,I$428,Tabell2[[#This Row],[Sysselsettingsvekst10]]))</f>
        <v>-0.10679965679965678</v>
      </c>
      <c r="S69" s="32">
        <f>IF(Tabell2[[#This Row],[Yrkesaktivandel]]&lt;=J$427,J$427,IF(Tabell2[[#This Row],[Yrkesaktivandel]]&gt;=J$428,J$428,Tabell2[[#This Row],[Yrkesaktivandel]]))</f>
        <v>0.92597026588718434</v>
      </c>
      <c r="T69" s="67">
        <f>IF(Tabell2[[#This Row],[Inntekt]]&lt;=K$427,K$427,IF(Tabell2[[#This Row],[Inntekt]]&gt;=K$428,K$428,Tabell2[[#This Row],[Inntekt]]))</f>
        <v>388600</v>
      </c>
      <c r="U69" s="10">
        <f>IF(Tabell2[[#This Row],[NIBR11-T]]&lt;=L$430,100,IF(Tabell2[[#This Row],[NIBR11-T]]&gt;=L$429,0,100*(L$429-Tabell2[[#This Row],[NIBR11-T]])/L$432))</f>
        <v>10</v>
      </c>
      <c r="V69" s="10">
        <f>(M$429-Tabell2[[#This Row],[ReisetidOslo-T]])*100/M$432</f>
        <v>10.681961231777978</v>
      </c>
      <c r="W69" s="10">
        <f>100-(N$429-Tabell2[[#This Row],[Beftettotal-T]])*100/N$432</f>
        <v>0</v>
      </c>
      <c r="X69" s="10">
        <f>100-(O$429-Tabell2[[#This Row],[Befvekst10-T]])*100/O$432</f>
        <v>3.0519139501377595</v>
      </c>
      <c r="Y69" s="10">
        <f>100-(P$429-Tabell2[[#This Row],[Kvinneandel-T]])*100/P$432</f>
        <v>8.8351789890662644</v>
      </c>
      <c r="Z69" s="10">
        <f>(Q$429-Tabell2[[#This Row],[Eldreandel-T]])*100/Q$432</f>
        <v>25.685200558368422</v>
      </c>
      <c r="AA69" s="10">
        <f>100-(R$429-Tabell2[[#This Row],[Sysselsettingsvekst10-T]])*100/R$432</f>
        <v>0</v>
      </c>
      <c r="AB69" s="10">
        <f>100-(S$429-Tabell2[[#This Row],[Yrkesaktivandel-T]])*100/S$432</f>
        <v>100</v>
      </c>
      <c r="AC69" s="10">
        <f>100-(T$429-Tabell2[[#This Row],[Inntekt-T]])*100/T$432</f>
        <v>32.73353326668888</v>
      </c>
      <c r="AD6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18.677951217245973</v>
      </c>
    </row>
    <row r="70" spans="1:30" x14ac:dyDescent="0.25">
      <c r="A70" s="2" t="s">
        <v>68</v>
      </c>
      <c r="B70" s="2">
        <v>68</v>
      </c>
      <c r="C70">
        <f>'Rådata-K'!N69</f>
        <v>10</v>
      </c>
      <c r="D70" s="30">
        <f>'Rådata-K'!M69</f>
        <v>278.375</v>
      </c>
      <c r="E70" s="32">
        <f>'Rådata-K'!O69</f>
        <v>1.0609389454209066</v>
      </c>
      <c r="F70" s="32">
        <f>'Rådata-K'!P69</f>
        <v>-5.4529841133533652E-2</v>
      </c>
      <c r="G70" s="32">
        <f>'Rådata-K'!Q69</f>
        <v>9.8092643051771122E-2</v>
      </c>
      <c r="H70" s="32">
        <f>'Rådata-K'!R69</f>
        <v>0.22842870118074476</v>
      </c>
      <c r="I70" s="32">
        <f>'Rådata-K'!S69</f>
        <v>-0.12311780336581046</v>
      </c>
      <c r="J70" s="32">
        <f>'Rådata-K'!T69</f>
        <v>0.8929765886287625</v>
      </c>
      <c r="K70" s="67">
        <f>'Rådata-K'!L69</f>
        <v>366000</v>
      </c>
      <c r="L70" s="18">
        <f>Tabell2[[#This Row],[NIBR11]]</f>
        <v>10</v>
      </c>
      <c r="M70" s="32">
        <f>IF(Tabell2[[#This Row],[ReisetidOslo]]&lt;=D$427,D$427,IF(Tabell2[[#This Row],[ReisetidOslo]]&gt;=D$428,D$428,Tabell2[[#This Row],[ReisetidOslo]]))</f>
        <v>278.375</v>
      </c>
      <c r="N70" s="32">
        <f>IF(Tabell2[[#This Row],[Beftettotal]]&lt;=E$427,E$427,IF(Tabell2[[#This Row],[Beftettotal]]&gt;=E$428,E$428,Tabell2[[#This Row],[Beftettotal]]))</f>
        <v>1.2454428893921135</v>
      </c>
      <c r="O70" s="32">
        <f>IF(Tabell2[[#This Row],[Befvekst10]]&lt;=F$427,F$427,IF(Tabell2[[#This Row],[Befvekst10]]&gt;=F$428,F$428,Tabell2[[#This Row],[Befvekst10]]))</f>
        <v>-5.4526569027269343E-2</v>
      </c>
      <c r="P70" s="32">
        <f>IF(Tabell2[[#This Row],[Kvinneandel]]&lt;=G$427,G$427,IF(Tabell2[[#This Row],[Kvinneandel]]&gt;=G$428,G$428,Tabell2[[#This Row],[Kvinneandel]]))</f>
        <v>9.8092643051771122E-2</v>
      </c>
      <c r="Q70" s="32">
        <f>IF(Tabell2[[#This Row],[Eldreandel]]&lt;=H$427,H$427,IF(Tabell2[[#This Row],[Eldreandel]]&gt;=H$428,H$428,Tabell2[[#This Row],[Eldreandel]]))</f>
        <v>0.22303194152148736</v>
      </c>
      <c r="R70" s="32">
        <f>IF(Tabell2[[#This Row],[Sysselsettingsvekst10]]&lt;=I$427,I$427,IF(Tabell2[[#This Row],[Sysselsettingsvekst10]]&gt;=I$428,I$428,Tabell2[[#This Row],[Sysselsettingsvekst10]]))</f>
        <v>-0.10679965679965678</v>
      </c>
      <c r="S70" s="32">
        <f>IF(Tabell2[[#This Row],[Yrkesaktivandel]]&lt;=J$427,J$427,IF(Tabell2[[#This Row],[Yrkesaktivandel]]&gt;=J$428,J$428,Tabell2[[#This Row],[Yrkesaktivandel]]))</f>
        <v>0.8929765886287625</v>
      </c>
      <c r="T70" s="67">
        <f>IF(Tabell2[[#This Row],[Inntekt]]&lt;=K$427,K$427,IF(Tabell2[[#This Row],[Inntekt]]&gt;=K$428,K$428,Tabell2[[#This Row],[Inntekt]]))</f>
        <v>366000</v>
      </c>
      <c r="U70" s="10">
        <f>IF(Tabell2[[#This Row],[NIBR11-T]]&lt;=L$430,100,IF(Tabell2[[#This Row],[NIBR11-T]]&gt;=L$429,0,100*(L$429-Tabell2[[#This Row],[NIBR11-T]])/L$432))</f>
        <v>10</v>
      </c>
      <c r="V70" s="10">
        <f>(M$429-Tabell2[[#This Row],[ReisetidOslo-T]])*100/M$432</f>
        <v>3.6001467524293438</v>
      </c>
      <c r="W70" s="10">
        <f>100-(N$429-Tabell2[[#This Row],[Beftettotal-T]])*100/N$432</f>
        <v>0</v>
      </c>
      <c r="X70" s="10">
        <f>100-(O$429-Tabell2[[#This Row],[Befvekst10-T]])*100/O$432</f>
        <v>0</v>
      </c>
      <c r="Y70" s="10">
        <f>100-(P$429-Tabell2[[#This Row],[Kvinneandel-T]])*100/P$432</f>
        <v>21.59511477158506</v>
      </c>
      <c r="Z70" s="10">
        <f>(Q$429-Tabell2[[#This Row],[Eldreandel-T]])*100/Q$432</f>
        <v>0</v>
      </c>
      <c r="AA70" s="10">
        <f>100-(R$429-Tabell2[[#This Row],[Sysselsettingsvekst10-T]])*100/R$432</f>
        <v>0</v>
      </c>
      <c r="AB70" s="10">
        <f>100-(S$429-Tabell2[[#This Row],[Yrkesaktivandel-T]])*100/S$432</f>
        <v>74.40865682150644</v>
      </c>
      <c r="AC70" s="10">
        <f>100-(T$429-Tabell2[[#This Row],[Inntekt-T]])*100/T$432</f>
        <v>7.6307897367544086</v>
      </c>
      <c r="AD7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11.643715069648273</v>
      </c>
    </row>
    <row r="71" spans="1:30" x14ac:dyDescent="0.25">
      <c r="A71" s="2" t="s">
        <v>69</v>
      </c>
      <c r="B71" s="2">
        <v>69</v>
      </c>
      <c r="C71">
        <f>'Rådata-K'!N70</f>
        <v>10</v>
      </c>
      <c r="D71" s="30">
        <f>'Rådata-K'!M70</f>
        <v>262.875</v>
      </c>
      <c r="E71" s="32">
        <f>'Rådata-K'!O70</f>
        <v>1.1988519468644434</v>
      </c>
      <c r="F71" s="32">
        <f>'Rådata-K'!P70</f>
        <v>-3.1198686371100126E-2</v>
      </c>
      <c r="G71" s="32">
        <f>'Rådata-K'!Q70</f>
        <v>0.1</v>
      </c>
      <c r="H71" s="32">
        <f>'Rådata-K'!R70</f>
        <v>0.19406779661016949</v>
      </c>
      <c r="I71" s="32">
        <f>'Rådata-K'!S70</f>
        <v>-0.13092369477911647</v>
      </c>
      <c r="J71" s="32">
        <f>'Rådata-K'!T70</f>
        <v>0.89441930618401211</v>
      </c>
      <c r="K71" s="67">
        <f>'Rådata-K'!L70</f>
        <v>364900</v>
      </c>
      <c r="L71" s="18">
        <f>Tabell2[[#This Row],[NIBR11]]</f>
        <v>10</v>
      </c>
      <c r="M71" s="32">
        <f>IF(Tabell2[[#This Row],[ReisetidOslo]]&lt;=D$427,D$427,IF(Tabell2[[#This Row],[ReisetidOslo]]&gt;=D$428,D$428,Tabell2[[#This Row],[ReisetidOslo]]))</f>
        <v>262.875</v>
      </c>
      <c r="N71" s="32">
        <f>IF(Tabell2[[#This Row],[Beftettotal]]&lt;=E$427,E$427,IF(Tabell2[[#This Row],[Beftettotal]]&gt;=E$428,E$428,Tabell2[[#This Row],[Beftettotal]]))</f>
        <v>1.2454428893921135</v>
      </c>
      <c r="O71" s="32">
        <f>IF(Tabell2[[#This Row],[Befvekst10]]&lt;=F$427,F$427,IF(Tabell2[[#This Row],[Befvekst10]]&gt;=F$428,F$428,Tabell2[[#This Row],[Befvekst10]]))</f>
        <v>-3.1198686371100126E-2</v>
      </c>
      <c r="P71" s="32">
        <f>IF(Tabell2[[#This Row],[Kvinneandel]]&lt;=G$427,G$427,IF(Tabell2[[#This Row],[Kvinneandel]]&gt;=G$428,G$428,Tabell2[[#This Row],[Kvinneandel]]))</f>
        <v>0.1</v>
      </c>
      <c r="Q71" s="32">
        <f>IF(Tabell2[[#This Row],[Eldreandel]]&lt;=H$427,H$427,IF(Tabell2[[#This Row],[Eldreandel]]&gt;=H$428,H$428,Tabell2[[#This Row],[Eldreandel]]))</f>
        <v>0.19406779661016949</v>
      </c>
      <c r="R71" s="32">
        <f>IF(Tabell2[[#This Row],[Sysselsettingsvekst10]]&lt;=I$427,I$427,IF(Tabell2[[#This Row],[Sysselsettingsvekst10]]&gt;=I$428,I$428,Tabell2[[#This Row],[Sysselsettingsvekst10]]))</f>
        <v>-0.10679965679965678</v>
      </c>
      <c r="S71" s="32">
        <f>IF(Tabell2[[#This Row],[Yrkesaktivandel]]&lt;=J$427,J$427,IF(Tabell2[[#This Row],[Yrkesaktivandel]]&gt;=J$428,J$428,Tabell2[[#This Row],[Yrkesaktivandel]]))</f>
        <v>0.89441930618401211</v>
      </c>
      <c r="T71" s="67">
        <f>IF(Tabell2[[#This Row],[Inntekt]]&lt;=K$427,K$427,IF(Tabell2[[#This Row],[Inntekt]]&gt;=K$428,K$428,Tabell2[[#This Row],[Inntekt]]))</f>
        <v>364900</v>
      </c>
      <c r="U71" s="10">
        <f>IF(Tabell2[[#This Row],[NIBR11-T]]&lt;=L$430,100,IF(Tabell2[[#This Row],[NIBR11-T]]&gt;=L$429,0,100*(L$429-Tabell2[[#This Row],[NIBR11-T]])/L$432))</f>
        <v>10</v>
      </c>
      <c r="V71" s="10">
        <f>(M$429-Tabell2[[#This Row],[ReisetidOslo-T]])*100/M$432</f>
        <v>10.278055462993835</v>
      </c>
      <c r="W71" s="10">
        <f>100-(N$429-Tabell2[[#This Row],[Beftettotal-T]])*100/N$432</f>
        <v>0</v>
      </c>
      <c r="X71" s="10">
        <f>100-(O$429-Tabell2[[#This Row],[Befvekst10-T]])*100/O$432</f>
        <v>10.049064104889979</v>
      </c>
      <c r="Y71" s="10">
        <f>100-(P$429-Tabell2[[#This Row],[Kvinneandel-T]])*100/P$432</f>
        <v>26.633022768781146</v>
      </c>
      <c r="Z71" s="10">
        <f>(Q$429-Tabell2[[#This Row],[Eldreandel-T]])*100/Q$432</f>
        <v>31.241082085849655</v>
      </c>
      <c r="AA71" s="10">
        <f>100-(R$429-Tabell2[[#This Row],[Sysselsettingsvekst10-T]])*100/R$432</f>
        <v>0</v>
      </c>
      <c r="AB71" s="10">
        <f>100-(S$429-Tabell2[[#This Row],[Yrkesaktivandel-T]])*100/S$432</f>
        <v>75.527691834695389</v>
      </c>
      <c r="AC71" s="10">
        <f>100-(T$429-Tabell2[[#This Row],[Inntekt-T]])*100/T$432</f>
        <v>6.4089747861823838</v>
      </c>
      <c r="AD7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16.124990272096699</v>
      </c>
    </row>
    <row r="72" spans="1:30" x14ac:dyDescent="0.25">
      <c r="A72" s="2" t="s">
        <v>70</v>
      </c>
      <c r="B72" s="2">
        <v>70</v>
      </c>
      <c r="C72">
        <f>'Rådata-K'!N71</f>
        <v>10</v>
      </c>
      <c r="D72" s="30">
        <f>'Rådata-K'!M71</f>
        <v>239.46875</v>
      </c>
      <c r="E72" s="32">
        <f>'Rådata-K'!O71</f>
        <v>2.736842105263158</v>
      </c>
      <c r="F72" s="32">
        <f>'Rådata-K'!P71</f>
        <v>-2.2556390977443663E-2</v>
      </c>
      <c r="G72" s="32">
        <f>'Rådata-K'!Q71</f>
        <v>9.9450549450549444E-2</v>
      </c>
      <c r="H72" s="32">
        <f>'Rådata-K'!R71</f>
        <v>0.21428571428571427</v>
      </c>
      <c r="I72" s="32">
        <f>'Rådata-K'!S71</f>
        <v>-2.4852844996729906E-2</v>
      </c>
      <c r="J72" s="32">
        <f>'Rådata-K'!T71</f>
        <v>0.9044746103569633</v>
      </c>
      <c r="K72" s="67">
        <f>'Rådata-K'!L71</f>
        <v>370100</v>
      </c>
      <c r="L72" s="18">
        <f>Tabell2[[#This Row],[NIBR11]]</f>
        <v>10</v>
      </c>
      <c r="M72" s="32">
        <f>IF(Tabell2[[#This Row],[ReisetidOslo]]&lt;=D$427,D$427,IF(Tabell2[[#This Row],[ReisetidOslo]]&gt;=D$428,D$428,Tabell2[[#This Row],[ReisetidOslo]]))</f>
        <v>239.46875</v>
      </c>
      <c r="N72" s="32">
        <f>IF(Tabell2[[#This Row],[Beftettotal]]&lt;=E$427,E$427,IF(Tabell2[[#This Row],[Beftettotal]]&gt;=E$428,E$428,Tabell2[[#This Row],[Beftettotal]]))</f>
        <v>2.736842105263158</v>
      </c>
      <c r="O72" s="32">
        <f>IF(Tabell2[[#This Row],[Befvekst10]]&lt;=F$427,F$427,IF(Tabell2[[#This Row],[Befvekst10]]&gt;=F$428,F$428,Tabell2[[#This Row],[Befvekst10]]))</f>
        <v>-2.2556390977443663E-2</v>
      </c>
      <c r="P72" s="32">
        <f>IF(Tabell2[[#This Row],[Kvinneandel]]&lt;=G$427,G$427,IF(Tabell2[[#This Row],[Kvinneandel]]&gt;=G$428,G$428,Tabell2[[#This Row],[Kvinneandel]]))</f>
        <v>9.9450549450549444E-2</v>
      </c>
      <c r="Q72" s="32">
        <f>IF(Tabell2[[#This Row],[Eldreandel]]&lt;=H$427,H$427,IF(Tabell2[[#This Row],[Eldreandel]]&gt;=H$428,H$428,Tabell2[[#This Row],[Eldreandel]]))</f>
        <v>0.21428571428571427</v>
      </c>
      <c r="R72" s="32">
        <f>IF(Tabell2[[#This Row],[Sysselsettingsvekst10]]&lt;=I$427,I$427,IF(Tabell2[[#This Row],[Sysselsettingsvekst10]]&gt;=I$428,I$428,Tabell2[[#This Row],[Sysselsettingsvekst10]]))</f>
        <v>-2.4852844996729906E-2</v>
      </c>
      <c r="S72" s="32">
        <f>IF(Tabell2[[#This Row],[Yrkesaktivandel]]&lt;=J$427,J$427,IF(Tabell2[[#This Row],[Yrkesaktivandel]]&gt;=J$428,J$428,Tabell2[[#This Row],[Yrkesaktivandel]]))</f>
        <v>0.9044746103569633</v>
      </c>
      <c r="T72" s="67">
        <f>IF(Tabell2[[#This Row],[Inntekt]]&lt;=K$427,K$427,IF(Tabell2[[#This Row],[Inntekt]]&gt;=K$428,K$428,Tabell2[[#This Row],[Inntekt]]))</f>
        <v>370100</v>
      </c>
      <c r="U72" s="10">
        <f>IF(Tabell2[[#This Row],[NIBR11-T]]&lt;=L$430,100,IF(Tabell2[[#This Row],[NIBR11-T]]&gt;=L$429,0,100*(L$429-Tabell2[[#This Row],[NIBR11-T]])/L$432))</f>
        <v>10</v>
      </c>
      <c r="V72" s="10">
        <f>(M$429-Tabell2[[#This Row],[ReisetidOslo-T]])*100/M$432</f>
        <v>20.36223615697126</v>
      </c>
      <c r="W72" s="10">
        <f>100-(N$429-Tabell2[[#This Row],[Beftettotal-T]])*100/N$432</f>
        <v>1.1115485771056939</v>
      </c>
      <c r="X72" s="10">
        <f>100-(O$429-Tabell2[[#This Row],[Befvekst10-T]])*100/O$432</f>
        <v>13.771947218813821</v>
      </c>
      <c r="Y72" s="10">
        <f>100-(P$429-Tabell2[[#This Row],[Kvinneandel-T]])*100/P$432</f>
        <v>25.181757278223046</v>
      </c>
      <c r="Z72" s="10">
        <f>(Q$429-Tabell2[[#This Row],[Eldreandel-T]])*100/Q$432</f>
        <v>9.4337880110353467</v>
      </c>
      <c r="AA72" s="10">
        <f>100-(R$429-Tabell2[[#This Row],[Sysselsettingsvekst10-T]])*100/R$432</f>
        <v>28.668611572507103</v>
      </c>
      <c r="AB72" s="10">
        <f>100-(S$429-Tabell2[[#This Row],[Yrkesaktivandel-T]])*100/S$432</f>
        <v>83.327026775102723</v>
      </c>
      <c r="AC72" s="10">
        <f>100-(T$429-Tabell2[[#This Row],[Inntekt-T]])*100/T$432</f>
        <v>12.184827279795627</v>
      </c>
      <c r="AD7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21.050591744373925</v>
      </c>
    </row>
    <row r="73" spans="1:30" x14ac:dyDescent="0.25">
      <c r="A73" s="2" t="s">
        <v>71</v>
      </c>
      <c r="B73" s="2">
        <v>71</v>
      </c>
      <c r="C73">
        <f>'Rådata-K'!N72</f>
        <v>8</v>
      </c>
      <c r="D73" s="30">
        <f>'Rådata-K'!M72</f>
        <v>188.34375</v>
      </c>
      <c r="E73" s="32">
        <f>'Rådata-K'!O72</f>
        <v>5.013666468094053</v>
      </c>
      <c r="F73" s="32">
        <f>'Rådata-K'!P72</f>
        <v>-1.1571675302245232E-2</v>
      </c>
      <c r="G73" s="32">
        <f>'Rådata-K'!Q72</f>
        <v>9.5055041062379872E-2</v>
      </c>
      <c r="H73" s="32">
        <f>'Rådata-K'!R72</f>
        <v>0.20636030054167395</v>
      </c>
      <c r="I73" s="32">
        <f>'Rådata-K'!S72</f>
        <v>-5.3050397877984046E-2</v>
      </c>
      <c r="J73" s="32">
        <f>'Rådata-K'!T72</f>
        <v>0.87372448979591832</v>
      </c>
      <c r="K73" s="67">
        <f>'Rådata-K'!L72</f>
        <v>393400</v>
      </c>
      <c r="L73" s="18">
        <f>Tabell2[[#This Row],[NIBR11]]</f>
        <v>8</v>
      </c>
      <c r="M73" s="32">
        <f>IF(Tabell2[[#This Row],[ReisetidOslo]]&lt;=D$427,D$427,IF(Tabell2[[#This Row],[ReisetidOslo]]&gt;=D$428,D$428,Tabell2[[#This Row],[ReisetidOslo]]))</f>
        <v>188.34375</v>
      </c>
      <c r="N73" s="32">
        <f>IF(Tabell2[[#This Row],[Beftettotal]]&lt;=E$427,E$427,IF(Tabell2[[#This Row],[Beftettotal]]&gt;=E$428,E$428,Tabell2[[#This Row],[Beftettotal]]))</f>
        <v>5.013666468094053</v>
      </c>
      <c r="O73" s="32">
        <f>IF(Tabell2[[#This Row],[Befvekst10]]&lt;=F$427,F$427,IF(Tabell2[[#This Row],[Befvekst10]]&gt;=F$428,F$428,Tabell2[[#This Row],[Befvekst10]]))</f>
        <v>-1.1571675302245232E-2</v>
      </c>
      <c r="P73" s="32">
        <f>IF(Tabell2[[#This Row],[Kvinneandel]]&lt;=G$427,G$427,IF(Tabell2[[#This Row],[Kvinneandel]]&gt;=G$428,G$428,Tabell2[[#This Row],[Kvinneandel]]))</f>
        <v>9.5055041062379872E-2</v>
      </c>
      <c r="Q73" s="32">
        <f>IF(Tabell2[[#This Row],[Eldreandel]]&lt;=H$427,H$427,IF(Tabell2[[#This Row],[Eldreandel]]&gt;=H$428,H$428,Tabell2[[#This Row],[Eldreandel]]))</f>
        <v>0.20636030054167395</v>
      </c>
      <c r="R73" s="32">
        <f>IF(Tabell2[[#This Row],[Sysselsettingsvekst10]]&lt;=I$427,I$427,IF(Tabell2[[#This Row],[Sysselsettingsvekst10]]&gt;=I$428,I$428,Tabell2[[#This Row],[Sysselsettingsvekst10]]))</f>
        <v>-5.3050397877984046E-2</v>
      </c>
      <c r="S73" s="32">
        <f>IF(Tabell2[[#This Row],[Yrkesaktivandel]]&lt;=J$427,J$427,IF(Tabell2[[#This Row],[Yrkesaktivandel]]&gt;=J$428,J$428,Tabell2[[#This Row],[Yrkesaktivandel]]))</f>
        <v>0.87372448979591832</v>
      </c>
      <c r="T73" s="67">
        <f>IF(Tabell2[[#This Row],[Inntekt]]&lt;=K$427,K$427,IF(Tabell2[[#This Row],[Inntekt]]&gt;=K$428,K$428,Tabell2[[#This Row],[Inntekt]]))</f>
        <v>393400</v>
      </c>
      <c r="U73" s="10">
        <f>IF(Tabell2[[#This Row],[NIBR11-T]]&lt;=L$430,100,IF(Tabell2[[#This Row],[NIBR11-T]]&gt;=L$429,0,100*(L$429-Tabell2[[#This Row],[NIBR11-T]])/L$432))</f>
        <v>30</v>
      </c>
      <c r="V73" s="10">
        <f>(M$429-Tabell2[[#This Row],[ReisetidOslo-T]])*100/M$432</f>
        <v>42.388564081333165</v>
      </c>
      <c r="W73" s="10">
        <f>100-(N$429-Tabell2[[#This Row],[Beftettotal-T]])*100/N$432</f>
        <v>2.8084791198417918</v>
      </c>
      <c r="X73" s="10">
        <f>100-(O$429-Tabell2[[#This Row],[Befvekst10-T]])*100/O$432</f>
        <v>18.503885973009602</v>
      </c>
      <c r="Y73" s="10">
        <f>100-(P$429-Tabell2[[#This Row],[Kvinneandel-T]])*100/P$432</f>
        <v>13.571886938502772</v>
      </c>
      <c r="Z73" s="10">
        <f>(Q$429-Tabell2[[#This Row],[Eldreandel-T]])*100/Q$432</f>
        <v>17.982236518663633</v>
      </c>
      <c r="AA73" s="10">
        <f>100-(R$429-Tabell2[[#This Row],[Sysselsettingsvekst10-T]])*100/R$432</f>
        <v>18.803863047671513</v>
      </c>
      <c r="AB73" s="10">
        <f>100-(S$429-Tabell2[[#This Row],[Yrkesaktivandel-T]])*100/S$432</f>
        <v>59.475884573095442</v>
      </c>
      <c r="AC73" s="10">
        <f>100-(T$429-Tabell2[[#This Row],[Inntekt-T]])*100/T$432</f>
        <v>38.065089414639566</v>
      </c>
      <c r="AD7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27.432671391118387</v>
      </c>
    </row>
    <row r="74" spans="1:30" x14ac:dyDescent="0.25">
      <c r="A74" s="2" t="s">
        <v>72</v>
      </c>
      <c r="B74" s="2">
        <v>72</v>
      </c>
      <c r="C74">
        <f>'Rådata-K'!N73</f>
        <v>10</v>
      </c>
      <c r="D74" s="30">
        <f>'Rådata-K'!M73</f>
        <v>215.03125</v>
      </c>
      <c r="E74" s="32">
        <f>'Rådata-K'!O73</f>
        <v>6.5375222392892267</v>
      </c>
      <c r="F74" s="32">
        <f>'Rådata-K'!P73</f>
        <v>-3.0004918839153905E-2</v>
      </c>
      <c r="G74" s="32">
        <f>'Rådata-K'!Q73</f>
        <v>9.1615956727518599E-2</v>
      </c>
      <c r="H74" s="32">
        <f>'Rådata-K'!R73</f>
        <v>0.20098039215686275</v>
      </c>
      <c r="I74" s="32">
        <f>'Rådata-K'!S73</f>
        <v>-1.9414281013491297E-2</v>
      </c>
      <c r="J74" s="32">
        <f>'Rådata-K'!T73</f>
        <v>0.84058859595340285</v>
      </c>
      <c r="K74" s="67">
        <f>'Rådata-K'!L73</f>
        <v>337800</v>
      </c>
      <c r="L74" s="18">
        <f>Tabell2[[#This Row],[NIBR11]]</f>
        <v>10</v>
      </c>
      <c r="M74" s="32">
        <f>IF(Tabell2[[#This Row],[ReisetidOslo]]&lt;=D$427,D$427,IF(Tabell2[[#This Row],[ReisetidOslo]]&gt;=D$428,D$428,Tabell2[[#This Row],[ReisetidOslo]]))</f>
        <v>215.03125</v>
      </c>
      <c r="N74" s="32">
        <f>IF(Tabell2[[#This Row],[Beftettotal]]&lt;=E$427,E$427,IF(Tabell2[[#This Row],[Beftettotal]]&gt;=E$428,E$428,Tabell2[[#This Row],[Beftettotal]]))</f>
        <v>6.5375222392892267</v>
      </c>
      <c r="O74" s="32">
        <f>IF(Tabell2[[#This Row],[Befvekst10]]&lt;=F$427,F$427,IF(Tabell2[[#This Row],[Befvekst10]]&gt;=F$428,F$428,Tabell2[[#This Row],[Befvekst10]]))</f>
        <v>-3.0004918839153905E-2</v>
      </c>
      <c r="P74" s="32">
        <f>IF(Tabell2[[#This Row],[Kvinneandel]]&lt;=G$427,G$427,IF(Tabell2[[#This Row],[Kvinneandel]]&gt;=G$428,G$428,Tabell2[[#This Row],[Kvinneandel]]))</f>
        <v>9.1615956727518599E-2</v>
      </c>
      <c r="Q74" s="32">
        <f>IF(Tabell2[[#This Row],[Eldreandel]]&lt;=H$427,H$427,IF(Tabell2[[#This Row],[Eldreandel]]&gt;=H$428,H$428,Tabell2[[#This Row],[Eldreandel]]))</f>
        <v>0.20098039215686275</v>
      </c>
      <c r="R74" s="32">
        <f>IF(Tabell2[[#This Row],[Sysselsettingsvekst10]]&lt;=I$427,I$427,IF(Tabell2[[#This Row],[Sysselsettingsvekst10]]&gt;=I$428,I$428,Tabell2[[#This Row],[Sysselsettingsvekst10]]))</f>
        <v>-1.9414281013491297E-2</v>
      </c>
      <c r="S74" s="32">
        <f>IF(Tabell2[[#This Row],[Yrkesaktivandel]]&lt;=J$427,J$427,IF(Tabell2[[#This Row],[Yrkesaktivandel]]&gt;=J$428,J$428,Tabell2[[#This Row],[Yrkesaktivandel]]))</f>
        <v>0.84058859595340285</v>
      </c>
      <c r="T74" s="67">
        <f>IF(Tabell2[[#This Row],[Inntekt]]&lt;=K$427,K$427,IF(Tabell2[[#This Row],[Inntekt]]&gt;=K$428,K$428,Tabell2[[#This Row],[Inntekt]]))</f>
        <v>359130</v>
      </c>
      <c r="U74" s="10">
        <f>IF(Tabell2[[#This Row],[NIBR11-T]]&lt;=L$430,100,IF(Tabell2[[#This Row],[NIBR11-T]]&gt;=L$429,0,100*(L$429-Tabell2[[#This Row],[NIBR11-T]])/L$432))</f>
        <v>10</v>
      </c>
      <c r="V74" s="10">
        <f>(M$429-Tabell2[[#This Row],[ReisetidOslo-T]])*100/M$432</f>
        <v>30.890713196611244</v>
      </c>
      <c r="W74" s="10">
        <f>100-(N$429-Tabell2[[#This Row],[Beftettotal-T]])*100/N$432</f>
        <v>3.9442177578677047</v>
      </c>
      <c r="X74" s="10">
        <f>100-(O$429-Tabell2[[#This Row],[Befvekst10-T]])*100/O$432</f>
        <v>10.563309080813298</v>
      </c>
      <c r="Y74" s="10">
        <f>100-(P$429-Tabell2[[#This Row],[Kvinneandel-T]])*100/P$432</f>
        <v>4.4882225044713948</v>
      </c>
      <c r="Z74" s="10">
        <f>(Q$429-Tabell2[[#This Row],[Eldreandel-T]])*100/Q$432</f>
        <v>23.785071712964907</v>
      </c>
      <c r="AA74" s="10">
        <f>100-(R$429-Tabell2[[#This Row],[Sysselsettingsvekst10-T]])*100/R$432</f>
        <v>30.57126129026129</v>
      </c>
      <c r="AB74" s="10">
        <f>100-(S$429-Tabell2[[#This Row],[Yrkesaktivandel-T]])*100/S$432</f>
        <v>33.774231974384591</v>
      </c>
      <c r="AC74" s="10">
        <f>100-(T$429-Tabell2[[#This Row],[Inntekt-T]])*100/T$432</f>
        <v>0</v>
      </c>
      <c r="AD7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15.444368948946957</v>
      </c>
    </row>
    <row r="75" spans="1:30" x14ac:dyDescent="0.25">
      <c r="A75" s="2" t="s">
        <v>73</v>
      </c>
      <c r="B75" s="2">
        <v>73</v>
      </c>
      <c r="C75">
        <f>'Rådata-K'!N74</f>
        <v>5</v>
      </c>
      <c r="D75" s="30">
        <f>'Rådata-K'!M74</f>
        <v>176.6875</v>
      </c>
      <c r="E75" s="32">
        <f>'Rådata-K'!O74</f>
        <v>4.2617693820905975</v>
      </c>
      <c r="F75" s="32">
        <f>'Rådata-K'!P74</f>
        <v>-1.1253516723976231E-2</v>
      </c>
      <c r="G75" s="32">
        <f>'Rådata-K'!Q74</f>
        <v>9.6111286753082517E-2</v>
      </c>
      <c r="H75" s="32">
        <f>'Rådata-K'!R74</f>
        <v>0.19728106228264305</v>
      </c>
      <c r="I75" s="32">
        <f>'Rådata-K'!S74</f>
        <v>-6.926406926406925E-2</v>
      </c>
      <c r="J75" s="32">
        <f>'Rådata-K'!T74</f>
        <v>0.91150954308849041</v>
      </c>
      <c r="K75" s="67">
        <f>'Rådata-K'!L74</f>
        <v>382500</v>
      </c>
      <c r="L75" s="18">
        <f>Tabell2[[#This Row],[NIBR11]]</f>
        <v>5</v>
      </c>
      <c r="M75" s="32">
        <f>IF(Tabell2[[#This Row],[ReisetidOslo]]&lt;=D$427,D$427,IF(Tabell2[[#This Row],[ReisetidOslo]]&gt;=D$428,D$428,Tabell2[[#This Row],[ReisetidOslo]]))</f>
        <v>176.6875</v>
      </c>
      <c r="N75" s="32">
        <f>IF(Tabell2[[#This Row],[Beftettotal]]&lt;=E$427,E$427,IF(Tabell2[[#This Row],[Beftettotal]]&gt;=E$428,E$428,Tabell2[[#This Row],[Beftettotal]]))</f>
        <v>4.2617693820905975</v>
      </c>
      <c r="O75" s="32">
        <f>IF(Tabell2[[#This Row],[Befvekst10]]&lt;=F$427,F$427,IF(Tabell2[[#This Row],[Befvekst10]]&gt;=F$428,F$428,Tabell2[[#This Row],[Befvekst10]]))</f>
        <v>-1.1253516723976231E-2</v>
      </c>
      <c r="P75" s="32">
        <f>IF(Tabell2[[#This Row],[Kvinneandel]]&lt;=G$427,G$427,IF(Tabell2[[#This Row],[Kvinneandel]]&gt;=G$428,G$428,Tabell2[[#This Row],[Kvinneandel]]))</f>
        <v>9.6111286753082517E-2</v>
      </c>
      <c r="Q75" s="32">
        <f>IF(Tabell2[[#This Row],[Eldreandel]]&lt;=H$427,H$427,IF(Tabell2[[#This Row],[Eldreandel]]&gt;=H$428,H$428,Tabell2[[#This Row],[Eldreandel]]))</f>
        <v>0.19728106228264305</v>
      </c>
      <c r="R75" s="32">
        <f>IF(Tabell2[[#This Row],[Sysselsettingsvekst10]]&lt;=I$427,I$427,IF(Tabell2[[#This Row],[Sysselsettingsvekst10]]&gt;=I$428,I$428,Tabell2[[#This Row],[Sysselsettingsvekst10]]))</f>
        <v>-6.926406926406925E-2</v>
      </c>
      <c r="S75" s="32">
        <f>IF(Tabell2[[#This Row],[Yrkesaktivandel]]&lt;=J$427,J$427,IF(Tabell2[[#This Row],[Yrkesaktivandel]]&gt;=J$428,J$428,Tabell2[[#This Row],[Yrkesaktivandel]]))</f>
        <v>0.91150954308849041</v>
      </c>
      <c r="T75" s="67">
        <f>IF(Tabell2[[#This Row],[Inntekt]]&lt;=K$427,K$427,IF(Tabell2[[#This Row],[Inntekt]]&gt;=K$428,K$428,Tabell2[[#This Row],[Inntekt]]))</f>
        <v>382500</v>
      </c>
      <c r="U75" s="10">
        <f>IF(Tabell2[[#This Row],[NIBR11-T]]&lt;=L$430,100,IF(Tabell2[[#This Row],[NIBR11-T]]&gt;=L$429,0,100*(L$429-Tabell2[[#This Row],[NIBR11-T]])/L$432))</f>
        <v>60</v>
      </c>
      <c r="V75" s="10">
        <f>(M$429-Tabell2[[#This Row],[ReisetidOslo-T]])*100/M$432</f>
        <v>47.410459139882676</v>
      </c>
      <c r="W75" s="10">
        <f>100-(N$429-Tabell2[[#This Row],[Beftettotal-T]])*100/N$432</f>
        <v>2.2480858145597296</v>
      </c>
      <c r="X75" s="10">
        <f>100-(O$429-Tabell2[[#This Row],[Befvekst10-T]])*100/O$432</f>
        <v>18.640940672558173</v>
      </c>
      <c r="Y75" s="10">
        <f>100-(P$429-Tabell2[[#This Row],[Kvinneandel-T]])*100/P$432</f>
        <v>16.361752053753449</v>
      </c>
      <c r="Z75" s="10">
        <f>(Q$429-Tabell2[[#This Row],[Eldreandel-T]])*100/Q$432</f>
        <v>27.77521430536623</v>
      </c>
      <c r="AA75" s="10">
        <f>100-(R$429-Tabell2[[#This Row],[Sysselsettingsvekst10-T]])*100/R$432</f>
        <v>13.131605190345724</v>
      </c>
      <c r="AB75" s="10">
        <f>100-(S$429-Tabell2[[#This Row],[Yrkesaktivandel-T]])*100/S$432</f>
        <v>88.783629152583174</v>
      </c>
      <c r="AC75" s="10">
        <f>100-(T$429-Tabell2[[#This Row],[Inntekt-T]])*100/T$432</f>
        <v>25.958013995334895</v>
      </c>
      <c r="AD7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35.688215781738243</v>
      </c>
    </row>
    <row r="76" spans="1:30" x14ac:dyDescent="0.25">
      <c r="A76" s="2" t="s">
        <v>74</v>
      </c>
      <c r="B76" s="2">
        <v>74</v>
      </c>
      <c r="C76">
        <f>'Rådata-K'!N75</f>
        <v>5</v>
      </c>
      <c r="D76" s="30">
        <f>'Rådata-K'!M75</f>
        <v>167.0625</v>
      </c>
      <c r="E76" s="32">
        <f>'Rådata-K'!O75</f>
        <v>3.6086151478474155</v>
      </c>
      <c r="F76" s="32">
        <f>'Rådata-K'!P75</f>
        <v>-1.2069343866578874E-2</v>
      </c>
      <c r="G76" s="32">
        <f>'Rådata-K'!Q75</f>
        <v>9.995557529986672E-2</v>
      </c>
      <c r="H76" s="32">
        <f>'Rådata-K'!R75</f>
        <v>0.21479342514438027</v>
      </c>
      <c r="I76" s="32">
        <f>'Rådata-K'!S75</f>
        <v>-5.7692307692307709E-2</v>
      </c>
      <c r="J76" s="32">
        <f>'Rådata-K'!T75</f>
        <v>0.8774193548387097</v>
      </c>
      <c r="K76" s="67">
        <f>'Rådata-K'!L75</f>
        <v>366200</v>
      </c>
      <c r="L76" s="18">
        <f>Tabell2[[#This Row],[NIBR11]]</f>
        <v>5</v>
      </c>
      <c r="M76" s="32">
        <f>IF(Tabell2[[#This Row],[ReisetidOslo]]&lt;=D$427,D$427,IF(Tabell2[[#This Row],[ReisetidOslo]]&gt;=D$428,D$428,Tabell2[[#This Row],[ReisetidOslo]]))</f>
        <v>167.0625</v>
      </c>
      <c r="N76" s="32">
        <f>IF(Tabell2[[#This Row],[Beftettotal]]&lt;=E$427,E$427,IF(Tabell2[[#This Row],[Beftettotal]]&gt;=E$428,E$428,Tabell2[[#This Row],[Beftettotal]]))</f>
        <v>3.6086151478474155</v>
      </c>
      <c r="O76" s="32">
        <f>IF(Tabell2[[#This Row],[Befvekst10]]&lt;=F$427,F$427,IF(Tabell2[[#This Row],[Befvekst10]]&gt;=F$428,F$428,Tabell2[[#This Row],[Befvekst10]]))</f>
        <v>-1.2069343866578874E-2</v>
      </c>
      <c r="P76" s="32">
        <f>IF(Tabell2[[#This Row],[Kvinneandel]]&lt;=G$427,G$427,IF(Tabell2[[#This Row],[Kvinneandel]]&gt;=G$428,G$428,Tabell2[[#This Row],[Kvinneandel]]))</f>
        <v>9.995557529986672E-2</v>
      </c>
      <c r="Q76" s="32">
        <f>IF(Tabell2[[#This Row],[Eldreandel]]&lt;=H$427,H$427,IF(Tabell2[[#This Row],[Eldreandel]]&gt;=H$428,H$428,Tabell2[[#This Row],[Eldreandel]]))</f>
        <v>0.21479342514438027</v>
      </c>
      <c r="R76" s="32">
        <f>IF(Tabell2[[#This Row],[Sysselsettingsvekst10]]&lt;=I$427,I$427,IF(Tabell2[[#This Row],[Sysselsettingsvekst10]]&gt;=I$428,I$428,Tabell2[[#This Row],[Sysselsettingsvekst10]]))</f>
        <v>-5.7692307692307709E-2</v>
      </c>
      <c r="S76" s="32">
        <f>IF(Tabell2[[#This Row],[Yrkesaktivandel]]&lt;=J$427,J$427,IF(Tabell2[[#This Row],[Yrkesaktivandel]]&gt;=J$428,J$428,Tabell2[[#This Row],[Yrkesaktivandel]]))</f>
        <v>0.8774193548387097</v>
      </c>
      <c r="T76" s="67">
        <f>IF(Tabell2[[#This Row],[Inntekt]]&lt;=K$427,K$427,IF(Tabell2[[#This Row],[Inntekt]]&gt;=K$428,K$428,Tabell2[[#This Row],[Inntekt]]))</f>
        <v>366200</v>
      </c>
      <c r="U76" s="10">
        <f>IF(Tabell2[[#This Row],[NIBR11-T]]&lt;=L$430,100,IF(Tabell2[[#This Row],[NIBR11-T]]&gt;=L$429,0,100*(L$429-Tabell2[[#This Row],[NIBR11-T]])/L$432))</f>
        <v>60</v>
      </c>
      <c r="V76" s="10">
        <f>(M$429-Tabell2[[#This Row],[ReisetidOslo-T]])*100/M$432</f>
        <v>51.5572250327332</v>
      </c>
      <c r="W76" s="10">
        <f>100-(N$429-Tabell2[[#This Row],[Beftettotal-T]])*100/N$432</f>
        <v>1.7612861354546681</v>
      </c>
      <c r="X76" s="10">
        <f>100-(O$429-Tabell2[[#This Row],[Befvekst10-T]])*100/O$432</f>
        <v>18.289502894198336</v>
      </c>
      <c r="Y76" s="10">
        <f>100-(P$429-Tabell2[[#This Row],[Kvinneandel-T]])*100/P$432</f>
        <v>26.515683666479219</v>
      </c>
      <c r="Z76" s="10">
        <f>(Q$429-Tabell2[[#This Row],[Eldreandel-T]])*100/Q$432</f>
        <v>8.8861648493633592</v>
      </c>
      <c r="AA76" s="10">
        <f>100-(R$429-Tabell2[[#This Row],[Sysselsettingsvekst10-T]])*100/R$432</f>
        <v>17.179918119325919</v>
      </c>
      <c r="AB76" s="10">
        <f>100-(S$429-Tabell2[[#This Row],[Yrkesaktivandel-T]])*100/S$432</f>
        <v>62.341783956413117</v>
      </c>
      <c r="AC76" s="10">
        <f>100-(T$429-Tabell2[[#This Row],[Inntekt-T]])*100/T$432</f>
        <v>7.852937909585691</v>
      </c>
      <c r="AD7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31.497308119983057</v>
      </c>
    </row>
    <row r="77" spans="1:30" x14ac:dyDescent="0.25">
      <c r="A77" s="2" t="s">
        <v>75</v>
      </c>
      <c r="B77" s="2">
        <v>75</v>
      </c>
      <c r="C77">
        <f>'Rådata-K'!N76</f>
        <v>4</v>
      </c>
      <c r="D77" s="30">
        <f>'Rådata-K'!M76</f>
        <v>145.75</v>
      </c>
      <c r="E77" s="32">
        <f>'Rådata-K'!O76</f>
        <v>7.9418659165494612</v>
      </c>
      <c r="F77" s="32">
        <f>'Rådata-K'!P76</f>
        <v>3.8626609442059978E-2</v>
      </c>
      <c r="G77" s="32">
        <f>'Rådata-K'!Q76</f>
        <v>0.11058638331365604</v>
      </c>
      <c r="H77" s="32">
        <f>'Rådata-K'!R76</f>
        <v>0.17512790240062967</v>
      </c>
      <c r="I77" s="32">
        <f>'Rådata-K'!S76</f>
        <v>-2.2589531680440755E-2</v>
      </c>
      <c r="J77" s="32">
        <f>'Rådata-K'!T76</f>
        <v>0.86982845610494453</v>
      </c>
      <c r="K77" s="67">
        <f>'Rådata-K'!L76</f>
        <v>380900</v>
      </c>
      <c r="L77" s="18">
        <f>Tabell2[[#This Row],[NIBR11]]</f>
        <v>4</v>
      </c>
      <c r="M77" s="32">
        <f>IF(Tabell2[[#This Row],[ReisetidOslo]]&lt;=D$427,D$427,IF(Tabell2[[#This Row],[ReisetidOslo]]&gt;=D$428,D$428,Tabell2[[#This Row],[ReisetidOslo]]))</f>
        <v>145.75</v>
      </c>
      <c r="N77" s="32">
        <f>IF(Tabell2[[#This Row],[Beftettotal]]&lt;=E$427,E$427,IF(Tabell2[[#This Row],[Beftettotal]]&gt;=E$428,E$428,Tabell2[[#This Row],[Beftettotal]]))</f>
        <v>7.9418659165494612</v>
      </c>
      <c r="O77" s="32">
        <f>IF(Tabell2[[#This Row],[Befvekst10]]&lt;=F$427,F$427,IF(Tabell2[[#This Row],[Befvekst10]]&gt;=F$428,F$428,Tabell2[[#This Row],[Befvekst10]]))</f>
        <v>3.8626609442059978E-2</v>
      </c>
      <c r="P77" s="32">
        <f>IF(Tabell2[[#This Row],[Kvinneandel]]&lt;=G$427,G$427,IF(Tabell2[[#This Row],[Kvinneandel]]&gt;=G$428,G$428,Tabell2[[#This Row],[Kvinneandel]]))</f>
        <v>0.11058638331365604</v>
      </c>
      <c r="Q77" s="32">
        <f>IF(Tabell2[[#This Row],[Eldreandel]]&lt;=H$427,H$427,IF(Tabell2[[#This Row],[Eldreandel]]&gt;=H$428,H$428,Tabell2[[#This Row],[Eldreandel]]))</f>
        <v>0.17512790240062967</v>
      </c>
      <c r="R77" s="32">
        <f>IF(Tabell2[[#This Row],[Sysselsettingsvekst10]]&lt;=I$427,I$427,IF(Tabell2[[#This Row],[Sysselsettingsvekst10]]&gt;=I$428,I$428,Tabell2[[#This Row],[Sysselsettingsvekst10]]))</f>
        <v>-2.2589531680440755E-2</v>
      </c>
      <c r="S77" s="32">
        <f>IF(Tabell2[[#This Row],[Yrkesaktivandel]]&lt;=J$427,J$427,IF(Tabell2[[#This Row],[Yrkesaktivandel]]&gt;=J$428,J$428,Tabell2[[#This Row],[Yrkesaktivandel]]))</f>
        <v>0.86982845610494453</v>
      </c>
      <c r="T77" s="67">
        <f>IF(Tabell2[[#This Row],[Inntekt]]&lt;=K$427,K$427,IF(Tabell2[[#This Row],[Inntekt]]&gt;=K$428,K$428,Tabell2[[#This Row],[Inntekt]]))</f>
        <v>380900</v>
      </c>
      <c r="U77" s="10">
        <f>IF(Tabell2[[#This Row],[NIBR11-T]]&lt;=L$430,100,IF(Tabell2[[#This Row],[NIBR11-T]]&gt;=L$429,0,100*(L$429-Tabell2[[#This Row],[NIBR11-T]])/L$432))</f>
        <v>70</v>
      </c>
      <c r="V77" s="10">
        <f>(M$429-Tabell2[[#This Row],[ReisetidOslo-T]])*100/M$432</f>
        <v>60.739349509759379</v>
      </c>
      <c r="W77" s="10">
        <f>100-(N$429-Tabell2[[#This Row],[Beftettotal-T]])*100/N$432</f>
        <v>4.9908833317893766</v>
      </c>
      <c r="X77" s="10">
        <f>100-(O$429-Tabell2[[#This Row],[Befvekst10-T]])*100/O$432</f>
        <v>40.128042300700983</v>
      </c>
      <c r="Y77" s="10">
        <f>100-(P$429-Tabell2[[#This Row],[Kvinneandel-T]])*100/P$432</f>
        <v>54.594870815511193</v>
      </c>
      <c r="Z77" s="10">
        <f>(Q$429-Tabell2[[#This Row],[Eldreandel-T]])*100/Q$432</f>
        <v>51.669884369128219</v>
      </c>
      <c r="AA77" s="10">
        <f>100-(R$429-Tabell2[[#This Row],[Sysselsettingsvekst10-T]])*100/R$432</f>
        <v>29.460418464123833</v>
      </c>
      <c r="AB77" s="10">
        <f>100-(S$429-Tabell2[[#This Row],[Yrkesaktivandel-T]])*100/S$432</f>
        <v>56.453949963026083</v>
      </c>
      <c r="AC77" s="10">
        <f>100-(T$429-Tabell2[[#This Row],[Inntekt-T]])*100/T$432</f>
        <v>24.180828612684664</v>
      </c>
      <c r="AD7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44.921389207510501</v>
      </c>
    </row>
    <row r="78" spans="1:30" x14ac:dyDescent="0.25">
      <c r="A78" s="2" t="s">
        <v>76</v>
      </c>
      <c r="B78" s="2">
        <v>76</v>
      </c>
      <c r="C78">
        <f>'Rådata-K'!N77</f>
        <v>4</v>
      </c>
      <c r="D78" s="30">
        <f>'Rådata-K'!M77</f>
        <v>141.53125</v>
      </c>
      <c r="E78" s="32">
        <f>'Rådata-K'!O77</f>
        <v>5.2083683132408751</v>
      </c>
      <c r="F78" s="32">
        <f>'Rådata-K'!P77</f>
        <v>1.4720314033366044E-2</v>
      </c>
      <c r="G78" s="32">
        <f>'Rådata-K'!Q77</f>
        <v>9.8807221147646673E-2</v>
      </c>
      <c r="H78" s="32">
        <f>'Rådata-K'!R77</f>
        <v>0.19503546099290781</v>
      </c>
      <c r="I78" s="32">
        <f>'Rådata-K'!S77</f>
        <v>-4.075630252100837E-2</v>
      </c>
      <c r="J78" s="32">
        <f>'Rådata-K'!T77</f>
        <v>0.92742398164084916</v>
      </c>
      <c r="K78" s="67">
        <f>'Rådata-K'!L77</f>
        <v>378800</v>
      </c>
      <c r="L78" s="18">
        <f>Tabell2[[#This Row],[NIBR11]]</f>
        <v>4</v>
      </c>
      <c r="M78" s="32">
        <f>IF(Tabell2[[#This Row],[ReisetidOslo]]&lt;=D$427,D$427,IF(Tabell2[[#This Row],[ReisetidOslo]]&gt;=D$428,D$428,Tabell2[[#This Row],[ReisetidOslo]]))</f>
        <v>141.53125</v>
      </c>
      <c r="N78" s="32">
        <f>IF(Tabell2[[#This Row],[Beftettotal]]&lt;=E$427,E$427,IF(Tabell2[[#This Row],[Beftettotal]]&gt;=E$428,E$428,Tabell2[[#This Row],[Beftettotal]]))</f>
        <v>5.2083683132408751</v>
      </c>
      <c r="O78" s="32">
        <f>IF(Tabell2[[#This Row],[Befvekst10]]&lt;=F$427,F$427,IF(Tabell2[[#This Row],[Befvekst10]]&gt;=F$428,F$428,Tabell2[[#This Row],[Befvekst10]]))</f>
        <v>1.4720314033366044E-2</v>
      </c>
      <c r="P78" s="32">
        <f>IF(Tabell2[[#This Row],[Kvinneandel]]&lt;=G$427,G$427,IF(Tabell2[[#This Row],[Kvinneandel]]&gt;=G$428,G$428,Tabell2[[#This Row],[Kvinneandel]]))</f>
        <v>9.8807221147646673E-2</v>
      </c>
      <c r="Q78" s="32">
        <f>IF(Tabell2[[#This Row],[Eldreandel]]&lt;=H$427,H$427,IF(Tabell2[[#This Row],[Eldreandel]]&gt;=H$428,H$428,Tabell2[[#This Row],[Eldreandel]]))</f>
        <v>0.19503546099290781</v>
      </c>
      <c r="R78" s="32">
        <f>IF(Tabell2[[#This Row],[Sysselsettingsvekst10]]&lt;=I$427,I$427,IF(Tabell2[[#This Row],[Sysselsettingsvekst10]]&gt;=I$428,I$428,Tabell2[[#This Row],[Sysselsettingsvekst10]]))</f>
        <v>-4.075630252100837E-2</v>
      </c>
      <c r="S78" s="32">
        <f>IF(Tabell2[[#This Row],[Yrkesaktivandel]]&lt;=J$427,J$427,IF(Tabell2[[#This Row],[Yrkesaktivandel]]&gt;=J$428,J$428,Tabell2[[#This Row],[Yrkesaktivandel]]))</f>
        <v>0.92597026588718434</v>
      </c>
      <c r="T78" s="67">
        <f>IF(Tabell2[[#This Row],[Inntekt]]&lt;=K$427,K$427,IF(Tabell2[[#This Row],[Inntekt]]&gt;=K$428,K$428,Tabell2[[#This Row],[Inntekt]]))</f>
        <v>378800</v>
      </c>
      <c r="U78" s="10">
        <f>IF(Tabell2[[#This Row],[NIBR11-T]]&lt;=L$430,100,IF(Tabell2[[#This Row],[NIBR11-T]]&gt;=L$429,0,100*(L$429-Tabell2[[#This Row],[NIBR11-T]])/L$432))</f>
        <v>70</v>
      </c>
      <c r="V78" s="10">
        <f>(M$429-Tabell2[[#This Row],[ReisetidOslo-T]])*100/M$432</f>
        <v>62.556925469288018</v>
      </c>
      <c r="W78" s="10">
        <f>100-(N$429-Tabell2[[#This Row],[Beftettotal-T]])*100/N$432</f>
        <v>2.9535915462328717</v>
      </c>
      <c r="X78" s="10">
        <f>100-(O$429-Tabell2[[#This Row],[Befvekst10-T]])*100/O$432</f>
        <v>29.82981255506779</v>
      </c>
      <c r="Y78" s="10">
        <f>100-(P$429-Tabell2[[#This Row],[Kvinneandel-T]])*100/P$432</f>
        <v>23.482532177737298</v>
      </c>
      <c r="Z78" s="10">
        <f>(Q$429-Tabell2[[#This Row],[Eldreandel-T]])*100/Q$432</f>
        <v>30.197347409571741</v>
      </c>
      <c r="AA78" s="10">
        <f>100-(R$429-Tabell2[[#This Row],[Sysselsettingsvekst10-T]])*100/R$432</f>
        <v>23.104880215637891</v>
      </c>
      <c r="AB78" s="10">
        <f>100-(S$429-Tabell2[[#This Row],[Yrkesaktivandel-T]])*100/S$432</f>
        <v>100</v>
      </c>
      <c r="AC78" s="10">
        <f>100-(T$429-Tabell2[[#This Row],[Inntekt-T]])*100/T$432</f>
        <v>21.848272797956241</v>
      </c>
      <c r="AD7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43.696323493290521</v>
      </c>
    </row>
    <row r="79" spans="1:30" x14ac:dyDescent="0.25">
      <c r="A79" s="2" t="s">
        <v>77</v>
      </c>
      <c r="B79" s="2">
        <v>77</v>
      </c>
      <c r="C79">
        <f>'Rådata-K'!N78</f>
        <v>4</v>
      </c>
      <c r="D79" s="30">
        <f>'Rådata-K'!M78</f>
        <v>92.6875</v>
      </c>
      <c r="E79" s="32">
        <f>'Rådata-K'!O78</f>
        <v>26.462484668574575</v>
      </c>
      <c r="F79" s="32">
        <f>'Rådata-K'!P78</f>
        <v>3.4609771353117047E-2</v>
      </c>
      <c r="G79" s="32">
        <f>'Rådata-K'!Q78</f>
        <v>0.10284140525290522</v>
      </c>
      <c r="H79" s="32">
        <f>'Rådata-K'!R78</f>
        <v>0.18559817290253242</v>
      </c>
      <c r="I79" s="32">
        <f>'Rådata-K'!S78</f>
        <v>7.8326840270658282E-2</v>
      </c>
      <c r="J79" s="32">
        <f>'Rådata-K'!T78</f>
        <v>0.85399061032863854</v>
      </c>
      <c r="K79" s="67">
        <f>'Rådata-K'!L78</f>
        <v>383600</v>
      </c>
      <c r="L79" s="18">
        <f>Tabell2[[#This Row],[NIBR11]]</f>
        <v>4</v>
      </c>
      <c r="M79" s="32">
        <f>IF(Tabell2[[#This Row],[ReisetidOslo]]&lt;=D$427,D$427,IF(Tabell2[[#This Row],[ReisetidOslo]]&gt;=D$428,D$428,Tabell2[[#This Row],[ReisetidOslo]]))</f>
        <v>92.6875</v>
      </c>
      <c r="N79" s="32">
        <f>IF(Tabell2[[#This Row],[Beftettotal]]&lt;=E$427,E$427,IF(Tabell2[[#This Row],[Beftettotal]]&gt;=E$428,E$428,Tabell2[[#This Row],[Beftettotal]]))</f>
        <v>26.462484668574575</v>
      </c>
      <c r="O79" s="32">
        <f>IF(Tabell2[[#This Row],[Befvekst10]]&lt;=F$427,F$427,IF(Tabell2[[#This Row],[Befvekst10]]&gt;=F$428,F$428,Tabell2[[#This Row],[Befvekst10]]))</f>
        <v>3.4609771353117047E-2</v>
      </c>
      <c r="P79" s="32">
        <f>IF(Tabell2[[#This Row],[Kvinneandel]]&lt;=G$427,G$427,IF(Tabell2[[#This Row],[Kvinneandel]]&gt;=G$428,G$428,Tabell2[[#This Row],[Kvinneandel]]))</f>
        <v>0.10284140525290522</v>
      </c>
      <c r="Q79" s="32">
        <f>IF(Tabell2[[#This Row],[Eldreandel]]&lt;=H$427,H$427,IF(Tabell2[[#This Row],[Eldreandel]]&gt;=H$428,H$428,Tabell2[[#This Row],[Eldreandel]]))</f>
        <v>0.18559817290253242</v>
      </c>
      <c r="R79" s="32">
        <f>IF(Tabell2[[#This Row],[Sysselsettingsvekst10]]&lt;=I$427,I$427,IF(Tabell2[[#This Row],[Sysselsettingsvekst10]]&gt;=I$428,I$428,Tabell2[[#This Row],[Sysselsettingsvekst10]]))</f>
        <v>7.8326840270658282E-2</v>
      </c>
      <c r="S79" s="32">
        <f>IF(Tabell2[[#This Row],[Yrkesaktivandel]]&lt;=J$427,J$427,IF(Tabell2[[#This Row],[Yrkesaktivandel]]&gt;=J$428,J$428,Tabell2[[#This Row],[Yrkesaktivandel]]))</f>
        <v>0.85399061032863854</v>
      </c>
      <c r="T79" s="67">
        <f>IF(Tabell2[[#This Row],[Inntekt]]&lt;=K$427,K$427,IF(Tabell2[[#This Row],[Inntekt]]&gt;=K$428,K$428,Tabell2[[#This Row],[Inntekt]]))</f>
        <v>383600</v>
      </c>
      <c r="U79" s="10">
        <f>IF(Tabell2[[#This Row],[NIBR11-T]]&lt;=L$430,100,IF(Tabell2[[#This Row],[NIBR11-T]]&gt;=L$429,0,100*(L$429-Tabell2[[#This Row],[NIBR11-T]])/L$432))</f>
        <v>70</v>
      </c>
      <c r="V79" s="10">
        <f>(M$429-Tabell2[[#This Row],[ReisetidOslo-T]])*100/M$432</f>
        <v>83.600416022941843</v>
      </c>
      <c r="W79" s="10">
        <f>100-(N$429-Tabell2[[#This Row],[Beftettotal-T]])*100/N$432</f>
        <v>18.794409042312878</v>
      </c>
      <c r="X79" s="10">
        <f>100-(O$429-Tabell2[[#This Row],[Befvekst10-T]])*100/O$432</f>
        <v>38.397689655769597</v>
      </c>
      <c r="Y79" s="10">
        <f>100-(P$429-Tabell2[[#This Row],[Kvinneandel-T]])*100/P$432</f>
        <v>34.138035535362846</v>
      </c>
      <c r="Z79" s="10">
        <f>(Q$429-Tabell2[[#This Row],[Eldreandel-T]])*100/Q$432</f>
        <v>40.37652213756526</v>
      </c>
      <c r="AA79" s="10">
        <f>100-(R$429-Tabell2[[#This Row],[Sysselsettingsvekst10-T]])*100/R$432</f>
        <v>64.765419416819526</v>
      </c>
      <c r="AB79" s="10">
        <f>100-(S$429-Tabell2[[#This Row],[Yrkesaktivandel-T]])*100/S$432</f>
        <v>44.169422133802591</v>
      </c>
      <c r="AC79" s="10">
        <f>100-(T$429-Tabell2[[#This Row],[Inntekt-T]])*100/T$432</f>
        <v>27.17982894590692</v>
      </c>
      <c r="AD7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49.256215370978701</v>
      </c>
    </row>
    <row r="80" spans="1:30" x14ac:dyDescent="0.25">
      <c r="A80" s="2" t="s">
        <v>78</v>
      </c>
      <c r="B80" s="2">
        <v>78</v>
      </c>
      <c r="C80">
        <f>'Rådata-K'!N79</f>
        <v>4</v>
      </c>
      <c r="D80" s="30">
        <f>'Rådata-K'!M79</f>
        <v>97.765625</v>
      </c>
      <c r="E80" s="32">
        <f>'Rådata-K'!O79</f>
        <v>52.817409426098109</v>
      </c>
      <c r="F80" s="32">
        <f>'Rådata-K'!P79</f>
        <v>4.5122918318794669E-2</v>
      </c>
      <c r="G80" s="32">
        <f>'Rådata-K'!Q79</f>
        <v>0.10289096289551559</v>
      </c>
      <c r="H80" s="32">
        <f>'Rådata-K'!R79</f>
        <v>0.18150087260034903</v>
      </c>
      <c r="I80" s="32">
        <f>'Rådata-K'!S79</f>
        <v>1.582575994985902E-2</v>
      </c>
      <c r="J80" s="32">
        <f>'Rådata-K'!T79</f>
        <v>0.84054518989016802</v>
      </c>
      <c r="K80" s="67">
        <f>'Rådata-K'!L79</f>
        <v>380700</v>
      </c>
      <c r="L80" s="18">
        <f>Tabell2[[#This Row],[NIBR11]]</f>
        <v>4</v>
      </c>
      <c r="M80" s="32">
        <f>IF(Tabell2[[#This Row],[ReisetidOslo]]&lt;=D$427,D$427,IF(Tabell2[[#This Row],[ReisetidOslo]]&gt;=D$428,D$428,Tabell2[[#This Row],[ReisetidOslo]]))</f>
        <v>97.765625</v>
      </c>
      <c r="N80" s="32">
        <f>IF(Tabell2[[#This Row],[Beftettotal]]&lt;=E$427,E$427,IF(Tabell2[[#This Row],[Beftettotal]]&gt;=E$428,E$428,Tabell2[[#This Row],[Beftettotal]]))</f>
        <v>52.817409426098109</v>
      </c>
      <c r="O80" s="32">
        <f>IF(Tabell2[[#This Row],[Befvekst10]]&lt;=F$427,F$427,IF(Tabell2[[#This Row],[Befvekst10]]&gt;=F$428,F$428,Tabell2[[#This Row],[Befvekst10]]))</f>
        <v>4.5122918318794669E-2</v>
      </c>
      <c r="P80" s="32">
        <f>IF(Tabell2[[#This Row],[Kvinneandel]]&lt;=G$427,G$427,IF(Tabell2[[#This Row],[Kvinneandel]]&gt;=G$428,G$428,Tabell2[[#This Row],[Kvinneandel]]))</f>
        <v>0.10289096289551559</v>
      </c>
      <c r="Q80" s="32">
        <f>IF(Tabell2[[#This Row],[Eldreandel]]&lt;=H$427,H$427,IF(Tabell2[[#This Row],[Eldreandel]]&gt;=H$428,H$428,Tabell2[[#This Row],[Eldreandel]]))</f>
        <v>0.18150087260034903</v>
      </c>
      <c r="R80" s="32">
        <f>IF(Tabell2[[#This Row],[Sysselsettingsvekst10]]&lt;=I$427,I$427,IF(Tabell2[[#This Row],[Sysselsettingsvekst10]]&gt;=I$428,I$428,Tabell2[[#This Row],[Sysselsettingsvekst10]]))</f>
        <v>1.582575994985902E-2</v>
      </c>
      <c r="S80" s="32">
        <f>IF(Tabell2[[#This Row],[Yrkesaktivandel]]&lt;=J$427,J$427,IF(Tabell2[[#This Row],[Yrkesaktivandel]]&gt;=J$428,J$428,Tabell2[[#This Row],[Yrkesaktivandel]]))</f>
        <v>0.84054518989016802</v>
      </c>
      <c r="T80" s="67">
        <f>IF(Tabell2[[#This Row],[Inntekt]]&lt;=K$427,K$427,IF(Tabell2[[#This Row],[Inntekt]]&gt;=K$428,K$428,Tabell2[[#This Row],[Inntekt]]))</f>
        <v>380700</v>
      </c>
      <c r="U80" s="10">
        <f>IF(Tabell2[[#This Row],[NIBR11-T]]&lt;=L$430,100,IF(Tabell2[[#This Row],[NIBR11-T]]&gt;=L$429,0,100*(L$429-Tabell2[[#This Row],[NIBR11-T]])/L$432))</f>
        <v>70</v>
      </c>
      <c r="V80" s="10">
        <f>(M$429-Tabell2[[#This Row],[ReisetidOslo-T]])*100/M$432</f>
        <v>81.412593108694409</v>
      </c>
      <c r="W80" s="10">
        <f>100-(N$429-Tabell2[[#This Row],[Beftettotal-T]])*100/N$432</f>
        <v>38.436888937840656</v>
      </c>
      <c r="X80" s="10">
        <f>100-(O$429-Tabell2[[#This Row],[Befvekst10-T]])*100/O$432</f>
        <v>42.926488491024578</v>
      </c>
      <c r="Y80" s="10">
        <f>100-(P$429-Tabell2[[#This Row],[Kvinneandel-T]])*100/P$432</f>
        <v>34.268932295018047</v>
      </c>
      <c r="Z80" s="10">
        <f>(Q$429-Tabell2[[#This Row],[Eldreandel-T]])*100/Q$432</f>
        <v>44.795920516589028</v>
      </c>
      <c r="AA80" s="10">
        <f>100-(R$429-Tabell2[[#This Row],[Sysselsettingsvekst10-T]])*100/R$432</f>
        <v>42.899782973412911</v>
      </c>
      <c r="AB80" s="10">
        <f>100-(S$429-Tabell2[[#This Row],[Yrkesaktivandel-T]])*100/S$432</f>
        <v>33.740564327957372</v>
      </c>
      <c r="AC80" s="10">
        <f>100-(T$429-Tabell2[[#This Row],[Inntekt-T]])*100/T$432</f>
        <v>23.958680439853381</v>
      </c>
      <c r="AD8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48.583391317561144</v>
      </c>
    </row>
    <row r="81" spans="1:30" x14ac:dyDescent="0.25">
      <c r="A81" s="2" t="s">
        <v>79</v>
      </c>
      <c r="B81" s="2">
        <v>79</v>
      </c>
      <c r="C81">
        <f>'Rådata-K'!N80</f>
        <v>5</v>
      </c>
      <c r="D81" s="30">
        <f>'Rådata-K'!M80</f>
        <v>58.2890625</v>
      </c>
      <c r="E81" s="32">
        <f>'Rådata-K'!O80</f>
        <v>29.665071770334926</v>
      </c>
      <c r="F81" s="32">
        <f>'Rådata-K'!P80</f>
        <v>7.3420968259057418E-2</v>
      </c>
      <c r="G81" s="32">
        <f>'Rådata-K'!Q80</f>
        <v>0.11170848267622462</v>
      </c>
      <c r="H81" s="32">
        <f>'Rådata-K'!R80</f>
        <v>0.16950418160095579</v>
      </c>
      <c r="I81" s="32">
        <f>'Rådata-K'!S80</f>
        <v>-5.6499770326136844E-2</v>
      </c>
      <c r="J81" s="32">
        <f>'Rådata-K'!T80</f>
        <v>0.84565330557001561</v>
      </c>
      <c r="K81" s="67">
        <f>'Rådata-K'!L80</f>
        <v>388100</v>
      </c>
      <c r="L81" s="18">
        <f>Tabell2[[#This Row],[NIBR11]]</f>
        <v>5</v>
      </c>
      <c r="M81" s="32">
        <f>IF(Tabell2[[#This Row],[ReisetidOslo]]&lt;=D$427,D$427,IF(Tabell2[[#This Row],[ReisetidOslo]]&gt;=D$428,D$428,Tabell2[[#This Row],[ReisetidOslo]]))</f>
        <v>58.2890625</v>
      </c>
      <c r="N81" s="32">
        <f>IF(Tabell2[[#This Row],[Beftettotal]]&lt;=E$427,E$427,IF(Tabell2[[#This Row],[Beftettotal]]&gt;=E$428,E$428,Tabell2[[#This Row],[Beftettotal]]))</f>
        <v>29.665071770334926</v>
      </c>
      <c r="O81" s="32">
        <f>IF(Tabell2[[#This Row],[Befvekst10]]&lt;=F$427,F$427,IF(Tabell2[[#This Row],[Befvekst10]]&gt;=F$428,F$428,Tabell2[[#This Row],[Befvekst10]]))</f>
        <v>7.3420968259057418E-2</v>
      </c>
      <c r="P81" s="32">
        <f>IF(Tabell2[[#This Row],[Kvinneandel]]&lt;=G$427,G$427,IF(Tabell2[[#This Row],[Kvinneandel]]&gt;=G$428,G$428,Tabell2[[#This Row],[Kvinneandel]]))</f>
        <v>0.11170848267622462</v>
      </c>
      <c r="Q81" s="32">
        <f>IF(Tabell2[[#This Row],[Eldreandel]]&lt;=H$427,H$427,IF(Tabell2[[#This Row],[Eldreandel]]&gt;=H$428,H$428,Tabell2[[#This Row],[Eldreandel]]))</f>
        <v>0.16950418160095579</v>
      </c>
      <c r="R81" s="32">
        <f>IF(Tabell2[[#This Row],[Sysselsettingsvekst10]]&lt;=I$427,I$427,IF(Tabell2[[#This Row],[Sysselsettingsvekst10]]&gt;=I$428,I$428,Tabell2[[#This Row],[Sysselsettingsvekst10]]))</f>
        <v>-5.6499770326136844E-2</v>
      </c>
      <c r="S81" s="32">
        <f>IF(Tabell2[[#This Row],[Yrkesaktivandel]]&lt;=J$427,J$427,IF(Tabell2[[#This Row],[Yrkesaktivandel]]&gt;=J$428,J$428,Tabell2[[#This Row],[Yrkesaktivandel]]))</f>
        <v>0.84565330557001561</v>
      </c>
      <c r="T81" s="67">
        <f>IF(Tabell2[[#This Row],[Inntekt]]&lt;=K$427,K$427,IF(Tabell2[[#This Row],[Inntekt]]&gt;=K$428,K$428,Tabell2[[#This Row],[Inntekt]]))</f>
        <v>388100</v>
      </c>
      <c r="U81" s="10">
        <f>IF(Tabell2[[#This Row],[NIBR11-T]]&lt;=L$430,100,IF(Tabell2[[#This Row],[NIBR11-T]]&gt;=L$429,0,100*(L$429-Tabell2[[#This Row],[NIBR11-T]])/L$432))</f>
        <v>60</v>
      </c>
      <c r="V81" s="10">
        <f>(M$429-Tabell2[[#This Row],[ReisetidOslo-T]])*100/M$432</f>
        <v>98.420391855913351</v>
      </c>
      <c r="W81" s="10">
        <f>100-(N$429-Tabell2[[#This Row],[Beftettotal-T]])*100/N$432</f>
        <v>21.181315980533071</v>
      </c>
      <c r="X81" s="10">
        <f>100-(O$429-Tabell2[[#This Row],[Befvekst10-T]])*100/O$432</f>
        <v>55.116575439094639</v>
      </c>
      <c r="Y81" s="10">
        <f>100-(P$429-Tabell2[[#This Row],[Kvinneandel-T]])*100/P$432</f>
        <v>57.558675444519977</v>
      </c>
      <c r="Z81" s="10">
        <f>(Q$429-Tabell2[[#This Row],[Eldreandel-T]])*100/Q$432</f>
        <v>57.73569862563194</v>
      </c>
      <c r="AA81" s="10">
        <f>100-(R$429-Tabell2[[#This Row],[Sysselsettingsvekst10-T]])*100/R$432</f>
        <v>17.597120323832328</v>
      </c>
      <c r="AB81" s="10">
        <f>100-(S$429-Tabell2[[#This Row],[Yrkesaktivandel-T]])*100/S$432</f>
        <v>37.702642890299366</v>
      </c>
      <c r="AC81" s="10">
        <f>100-(T$429-Tabell2[[#This Row],[Inntekt-T]])*100/T$432</f>
        <v>32.178162834610688</v>
      </c>
      <c r="AD8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49.495997179845411</v>
      </c>
    </row>
    <row r="82" spans="1:30" x14ac:dyDescent="0.25">
      <c r="A82" s="2" t="s">
        <v>80</v>
      </c>
      <c r="B82" s="2">
        <v>80</v>
      </c>
      <c r="C82">
        <f>'Rådata-K'!N81</f>
        <v>1</v>
      </c>
      <c r="D82" s="30">
        <f>'Rådata-K'!M81</f>
        <v>51.4375</v>
      </c>
      <c r="E82" s="32">
        <f>'Rådata-K'!O81</f>
        <v>31.11293859649123</v>
      </c>
      <c r="F82" s="32">
        <f>'Rådata-K'!P81</f>
        <v>6.5477587420793348E-2</v>
      </c>
      <c r="G82" s="32">
        <f>'Rådata-K'!Q81</f>
        <v>0.11343612334801761</v>
      </c>
      <c r="H82" s="32">
        <f>'Rådata-K'!R81</f>
        <v>0.14548458149779736</v>
      </c>
      <c r="I82" s="32">
        <f>'Rådata-K'!S81</f>
        <v>-3.5500230520977394E-2</v>
      </c>
      <c r="J82" s="32">
        <f>'Rådata-K'!T81</f>
        <v>0.85278713056490829</v>
      </c>
      <c r="K82" s="67">
        <f>'Rådata-K'!L81</f>
        <v>418400</v>
      </c>
      <c r="L82" s="18">
        <f>Tabell2[[#This Row],[NIBR11]]</f>
        <v>1</v>
      </c>
      <c r="M82" s="32">
        <f>IF(Tabell2[[#This Row],[ReisetidOslo]]&lt;=D$427,D$427,IF(Tabell2[[#This Row],[ReisetidOslo]]&gt;=D$428,D$428,Tabell2[[#This Row],[ReisetidOslo]]))</f>
        <v>54.622656249999999</v>
      </c>
      <c r="N82" s="32">
        <f>IF(Tabell2[[#This Row],[Beftettotal]]&lt;=E$427,E$427,IF(Tabell2[[#This Row],[Beftettotal]]&gt;=E$428,E$428,Tabell2[[#This Row],[Beftettotal]]))</f>
        <v>31.11293859649123</v>
      </c>
      <c r="O82" s="32">
        <f>IF(Tabell2[[#This Row],[Befvekst10]]&lt;=F$427,F$427,IF(Tabell2[[#This Row],[Befvekst10]]&gt;=F$428,F$428,Tabell2[[#This Row],[Befvekst10]]))</f>
        <v>6.5477587420793348E-2</v>
      </c>
      <c r="P82" s="32">
        <f>IF(Tabell2[[#This Row],[Kvinneandel]]&lt;=G$427,G$427,IF(Tabell2[[#This Row],[Kvinneandel]]&gt;=G$428,G$428,Tabell2[[#This Row],[Kvinneandel]]))</f>
        <v>0.11343612334801761</v>
      </c>
      <c r="Q82" s="32">
        <f>IF(Tabell2[[#This Row],[Eldreandel]]&lt;=H$427,H$427,IF(Tabell2[[#This Row],[Eldreandel]]&gt;=H$428,H$428,Tabell2[[#This Row],[Eldreandel]]))</f>
        <v>0.14548458149779736</v>
      </c>
      <c r="R82" s="32">
        <f>IF(Tabell2[[#This Row],[Sysselsettingsvekst10]]&lt;=I$427,I$427,IF(Tabell2[[#This Row],[Sysselsettingsvekst10]]&gt;=I$428,I$428,Tabell2[[#This Row],[Sysselsettingsvekst10]]))</f>
        <v>-3.5500230520977394E-2</v>
      </c>
      <c r="S82" s="32">
        <f>IF(Tabell2[[#This Row],[Yrkesaktivandel]]&lt;=J$427,J$427,IF(Tabell2[[#This Row],[Yrkesaktivandel]]&gt;=J$428,J$428,Tabell2[[#This Row],[Yrkesaktivandel]]))</f>
        <v>0.85278713056490829</v>
      </c>
      <c r="T82" s="67">
        <f>IF(Tabell2[[#This Row],[Inntekt]]&lt;=K$427,K$427,IF(Tabell2[[#This Row],[Inntekt]]&gt;=K$428,K$428,Tabell2[[#This Row],[Inntekt]]))</f>
        <v>418400</v>
      </c>
      <c r="U82" s="10">
        <f>IF(Tabell2[[#This Row],[NIBR11-T]]&lt;=L$430,100,IF(Tabell2[[#This Row],[NIBR11-T]]&gt;=L$429,0,100*(L$429-Tabell2[[#This Row],[NIBR11-T]])/L$432))</f>
        <v>100</v>
      </c>
      <c r="V82" s="10">
        <f>(M$429-Tabell2[[#This Row],[ReisetidOslo-T]])*100/M$432</f>
        <v>100</v>
      </c>
      <c r="W82" s="10">
        <f>100-(N$429-Tabell2[[#This Row],[Beftettotal-T]])*100/N$432</f>
        <v>22.260419612428606</v>
      </c>
      <c r="X82" s="10">
        <f>100-(O$429-Tabell2[[#This Row],[Befvekst10-T]])*100/O$432</f>
        <v>51.694767106559993</v>
      </c>
      <c r="Y82" s="10">
        <f>100-(P$429-Tabell2[[#This Row],[Kvinneandel-T]])*100/P$432</f>
        <v>62.121898266965012</v>
      </c>
      <c r="Z82" s="10">
        <f>(Q$429-Tabell2[[#This Row],[Eldreandel-T]])*100/Q$432</f>
        <v>83.643534012784485</v>
      </c>
      <c r="AA82" s="10">
        <f>100-(R$429-Tabell2[[#This Row],[Sysselsettingsvekst10-T]])*100/R$432</f>
        <v>24.943686183201308</v>
      </c>
      <c r="AB82" s="10">
        <f>100-(S$429-Tabell2[[#This Row],[Yrkesaktivandel-T]])*100/S$432</f>
        <v>43.235950444643372</v>
      </c>
      <c r="AC82" s="10">
        <f>100-(T$429-Tabell2[[#This Row],[Inntekt-T]])*100/T$432</f>
        <v>65.833611018549362</v>
      </c>
      <c r="AD8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63.254591761181743</v>
      </c>
    </row>
    <row r="83" spans="1:30" x14ac:dyDescent="0.25">
      <c r="A83" s="2" t="s">
        <v>81</v>
      </c>
      <c r="B83" s="2">
        <v>81</v>
      </c>
      <c r="C83">
        <f>'Rådata-K'!N82</f>
        <v>1</v>
      </c>
      <c r="D83" s="30">
        <f>'Rådata-K'!M82</f>
        <v>62.9140625</v>
      </c>
      <c r="E83" s="32">
        <f>'Rådata-K'!O82</f>
        <v>18.115376990682616</v>
      </c>
      <c r="F83" s="32">
        <f>'Rådata-K'!P82</f>
        <v>4.5537757437071003E-2</v>
      </c>
      <c r="G83" s="32">
        <f>'Rådata-K'!Q82</f>
        <v>0.10505581089954039</v>
      </c>
      <c r="H83" s="32">
        <f>'Rådata-K'!R82</f>
        <v>0.17815714598380389</v>
      </c>
      <c r="I83" s="32">
        <f>'Rådata-K'!S82</f>
        <v>2.5270128964796079E-2</v>
      </c>
      <c r="J83" s="32">
        <f>'Rådata-K'!T82</f>
        <v>0.8444157520981278</v>
      </c>
      <c r="K83" s="67">
        <f>'Rådata-K'!L82</f>
        <v>402500</v>
      </c>
      <c r="L83" s="18">
        <f>Tabell2[[#This Row],[NIBR11]]</f>
        <v>1</v>
      </c>
      <c r="M83" s="32">
        <f>IF(Tabell2[[#This Row],[ReisetidOslo]]&lt;=D$427,D$427,IF(Tabell2[[#This Row],[ReisetidOslo]]&gt;=D$428,D$428,Tabell2[[#This Row],[ReisetidOslo]]))</f>
        <v>62.9140625</v>
      </c>
      <c r="N83" s="32">
        <f>IF(Tabell2[[#This Row],[Beftettotal]]&lt;=E$427,E$427,IF(Tabell2[[#This Row],[Beftettotal]]&gt;=E$428,E$428,Tabell2[[#This Row],[Beftettotal]]))</f>
        <v>18.115376990682616</v>
      </c>
      <c r="O83" s="32">
        <f>IF(Tabell2[[#This Row],[Befvekst10]]&lt;=F$427,F$427,IF(Tabell2[[#This Row],[Befvekst10]]&gt;=F$428,F$428,Tabell2[[#This Row],[Befvekst10]]))</f>
        <v>4.5537757437071003E-2</v>
      </c>
      <c r="P83" s="32">
        <f>IF(Tabell2[[#This Row],[Kvinneandel]]&lt;=G$427,G$427,IF(Tabell2[[#This Row],[Kvinneandel]]&gt;=G$428,G$428,Tabell2[[#This Row],[Kvinneandel]]))</f>
        <v>0.10505581089954039</v>
      </c>
      <c r="Q83" s="32">
        <f>IF(Tabell2[[#This Row],[Eldreandel]]&lt;=H$427,H$427,IF(Tabell2[[#This Row],[Eldreandel]]&gt;=H$428,H$428,Tabell2[[#This Row],[Eldreandel]]))</f>
        <v>0.17815714598380389</v>
      </c>
      <c r="R83" s="32">
        <f>IF(Tabell2[[#This Row],[Sysselsettingsvekst10]]&lt;=I$427,I$427,IF(Tabell2[[#This Row],[Sysselsettingsvekst10]]&gt;=I$428,I$428,Tabell2[[#This Row],[Sysselsettingsvekst10]]))</f>
        <v>2.5270128964796079E-2</v>
      </c>
      <c r="S83" s="32">
        <f>IF(Tabell2[[#This Row],[Yrkesaktivandel]]&lt;=J$427,J$427,IF(Tabell2[[#This Row],[Yrkesaktivandel]]&gt;=J$428,J$428,Tabell2[[#This Row],[Yrkesaktivandel]]))</f>
        <v>0.8444157520981278</v>
      </c>
      <c r="T83" s="67">
        <f>IF(Tabell2[[#This Row],[Inntekt]]&lt;=K$427,K$427,IF(Tabell2[[#This Row],[Inntekt]]&gt;=K$428,K$428,Tabell2[[#This Row],[Inntekt]]))</f>
        <v>402500</v>
      </c>
      <c r="U83" s="10">
        <f>IF(Tabell2[[#This Row],[NIBR11-T]]&lt;=L$430,100,IF(Tabell2[[#This Row],[NIBR11-T]]&gt;=L$429,0,100*(L$429-Tabell2[[#This Row],[NIBR11-T]])/L$432))</f>
        <v>100</v>
      </c>
      <c r="V83" s="10">
        <f>(M$429-Tabell2[[#This Row],[ReisetidOslo-T]])*100/M$432</f>
        <v>96.427790063244913</v>
      </c>
      <c r="W83" s="10">
        <f>100-(N$429-Tabell2[[#This Row],[Beftettotal-T]])*100/N$432</f>
        <v>12.573260765196537</v>
      </c>
      <c r="X83" s="10">
        <f>100-(O$429-Tabell2[[#This Row],[Befvekst10-T]])*100/O$432</f>
        <v>43.105190731352955</v>
      </c>
      <c r="Y83" s="10">
        <f>100-(P$429-Tabell2[[#This Row],[Kvinneandel-T]])*100/P$432</f>
        <v>39.98695224000933</v>
      </c>
      <c r="Z83" s="10">
        <f>(Q$429-Tabell2[[#This Row],[Eldreandel-T]])*100/Q$432</f>
        <v>48.40250507207881</v>
      </c>
      <c r="AA83" s="10">
        <f>100-(R$429-Tabell2[[#This Row],[Sysselsettingsvekst10-T]])*100/R$432</f>
        <v>46.203840091434699</v>
      </c>
      <c r="AB83" s="10">
        <f>100-(S$429-Tabell2[[#This Row],[Yrkesaktivandel-T]])*100/S$432</f>
        <v>36.742742138626326</v>
      </c>
      <c r="AC83" s="10">
        <f>100-(T$429-Tabell2[[#This Row],[Inntekt-T]])*100/T$432</f>
        <v>48.172831278462738</v>
      </c>
      <c r="AD8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57.052557445571523</v>
      </c>
    </row>
    <row r="84" spans="1:30" x14ac:dyDescent="0.25">
      <c r="A84" s="2" t="s">
        <v>82</v>
      </c>
      <c r="B84" s="2">
        <v>82</v>
      </c>
      <c r="C84">
        <f>'Rådata-K'!N83</f>
        <v>4</v>
      </c>
      <c r="D84" s="30">
        <f>'Rådata-K'!M83</f>
        <v>98.921875</v>
      </c>
      <c r="E84" s="32">
        <f>'Rådata-K'!O83</f>
        <v>7.8491405349003243</v>
      </c>
      <c r="F84" s="32">
        <f>'Rådata-K'!P83</f>
        <v>-3.6244099797707374E-2</v>
      </c>
      <c r="G84" s="32">
        <f>'Rådata-K'!Q83</f>
        <v>9.8303305929683407E-2</v>
      </c>
      <c r="H84" s="32">
        <f>'Rådata-K'!R83</f>
        <v>0.18453734476123843</v>
      </c>
      <c r="I84" s="32">
        <f>'Rådata-K'!S83</f>
        <v>-0.13932702418506837</v>
      </c>
      <c r="J84" s="32">
        <f>'Rådata-K'!T83</f>
        <v>0.79180576631259481</v>
      </c>
      <c r="K84" s="67">
        <f>'Rådata-K'!L83</f>
        <v>345500</v>
      </c>
      <c r="L84" s="18">
        <f>Tabell2[[#This Row],[NIBR11]]</f>
        <v>4</v>
      </c>
      <c r="M84" s="32">
        <f>IF(Tabell2[[#This Row],[ReisetidOslo]]&lt;=D$427,D$427,IF(Tabell2[[#This Row],[ReisetidOslo]]&gt;=D$428,D$428,Tabell2[[#This Row],[ReisetidOslo]]))</f>
        <v>98.921875</v>
      </c>
      <c r="N84" s="32">
        <f>IF(Tabell2[[#This Row],[Beftettotal]]&lt;=E$427,E$427,IF(Tabell2[[#This Row],[Beftettotal]]&gt;=E$428,E$428,Tabell2[[#This Row],[Beftettotal]]))</f>
        <v>7.8491405349003243</v>
      </c>
      <c r="O84" s="32">
        <f>IF(Tabell2[[#This Row],[Befvekst10]]&lt;=F$427,F$427,IF(Tabell2[[#This Row],[Befvekst10]]&gt;=F$428,F$428,Tabell2[[#This Row],[Befvekst10]]))</f>
        <v>-3.6244099797707374E-2</v>
      </c>
      <c r="P84" s="32">
        <f>IF(Tabell2[[#This Row],[Kvinneandel]]&lt;=G$427,G$427,IF(Tabell2[[#This Row],[Kvinneandel]]&gt;=G$428,G$428,Tabell2[[#This Row],[Kvinneandel]]))</f>
        <v>9.8303305929683407E-2</v>
      </c>
      <c r="Q84" s="32">
        <f>IF(Tabell2[[#This Row],[Eldreandel]]&lt;=H$427,H$427,IF(Tabell2[[#This Row],[Eldreandel]]&gt;=H$428,H$428,Tabell2[[#This Row],[Eldreandel]]))</f>
        <v>0.18453734476123843</v>
      </c>
      <c r="R84" s="32">
        <f>IF(Tabell2[[#This Row],[Sysselsettingsvekst10]]&lt;=I$427,I$427,IF(Tabell2[[#This Row],[Sysselsettingsvekst10]]&gt;=I$428,I$428,Tabell2[[#This Row],[Sysselsettingsvekst10]]))</f>
        <v>-0.10679965679965678</v>
      </c>
      <c r="S84" s="32">
        <f>IF(Tabell2[[#This Row],[Yrkesaktivandel]]&lt;=J$427,J$427,IF(Tabell2[[#This Row],[Yrkesaktivandel]]&gt;=J$428,J$428,Tabell2[[#This Row],[Yrkesaktivandel]]))</f>
        <v>0.7970451171433347</v>
      </c>
      <c r="T84" s="67">
        <f>IF(Tabell2[[#This Row],[Inntekt]]&lt;=K$427,K$427,IF(Tabell2[[#This Row],[Inntekt]]&gt;=K$428,K$428,Tabell2[[#This Row],[Inntekt]]))</f>
        <v>359130</v>
      </c>
      <c r="U84" s="10">
        <f>IF(Tabell2[[#This Row],[NIBR11-T]]&lt;=L$430,100,IF(Tabell2[[#This Row],[NIBR11-T]]&gt;=L$429,0,100*(L$429-Tabell2[[#This Row],[NIBR11-T]])/L$432))</f>
        <v>70</v>
      </c>
      <c r="V84" s="10">
        <f>(M$429-Tabell2[[#This Row],[ReisetidOslo-T]])*100/M$432</f>
        <v>80.9144426605273</v>
      </c>
      <c r="W84" s="10">
        <f>100-(N$429-Tabell2[[#This Row],[Beftettotal-T]])*100/N$432</f>
        <v>4.9217745613563295</v>
      </c>
      <c r="X84" s="10">
        <f>100-(O$429-Tabell2[[#This Row],[Befvekst10-T]])*100/O$432</f>
        <v>7.8756271193331173</v>
      </c>
      <c r="Y84" s="10">
        <f>100-(P$429-Tabell2[[#This Row],[Kvinneandel-T]])*100/P$432</f>
        <v>22.151539303622513</v>
      </c>
      <c r="Z84" s="10">
        <f>(Q$429-Tabell2[[#This Row],[Eldreandel-T]])*100/Q$432</f>
        <v>41.520744386922765</v>
      </c>
      <c r="AA84" s="10">
        <f>100-(R$429-Tabell2[[#This Row],[Sysselsettingsvekst10-T]])*100/R$432</f>
        <v>0</v>
      </c>
      <c r="AB84" s="10">
        <f>100-(S$429-Tabell2[[#This Row],[Yrkesaktivandel-T]])*100/S$432</f>
        <v>0</v>
      </c>
      <c r="AC84" s="10">
        <f>100-(T$429-Tabell2[[#This Row],[Inntekt-T]])*100/T$432</f>
        <v>0</v>
      </c>
      <c r="AD8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27.34236133058225</v>
      </c>
    </row>
    <row r="85" spans="1:30" x14ac:dyDescent="0.25">
      <c r="A85" s="2" t="s">
        <v>83</v>
      </c>
      <c r="B85" s="2">
        <v>83</v>
      </c>
      <c r="C85">
        <f>'Rådata-K'!N84</f>
        <v>4</v>
      </c>
      <c r="D85" s="30">
        <f>'Rådata-K'!M84</f>
        <v>121.75</v>
      </c>
      <c r="E85" s="32">
        <f>'Rådata-K'!O84</f>
        <v>7.0898451811453871</v>
      </c>
      <c r="F85" s="32">
        <f>'Rådata-K'!P84</f>
        <v>7.8869047619047894E-3</v>
      </c>
      <c r="G85" s="32">
        <f>'Rådata-K'!Q84</f>
        <v>0.1018750922781633</v>
      </c>
      <c r="H85" s="32">
        <f>'Rådata-K'!R84</f>
        <v>0.19311974014469216</v>
      </c>
      <c r="I85" s="32">
        <f>'Rådata-K'!S84</f>
        <v>5.0650721069293025E-2</v>
      </c>
      <c r="J85" s="32">
        <f>'Rådata-K'!T84</f>
        <v>0.84657749803304483</v>
      </c>
      <c r="K85" s="67">
        <f>'Rådata-K'!L84</f>
        <v>353300</v>
      </c>
      <c r="L85" s="18">
        <f>Tabell2[[#This Row],[NIBR11]]</f>
        <v>4</v>
      </c>
      <c r="M85" s="32">
        <f>IF(Tabell2[[#This Row],[ReisetidOslo]]&lt;=D$427,D$427,IF(Tabell2[[#This Row],[ReisetidOslo]]&gt;=D$428,D$428,Tabell2[[#This Row],[ReisetidOslo]]))</f>
        <v>121.75</v>
      </c>
      <c r="N85" s="32">
        <f>IF(Tabell2[[#This Row],[Beftettotal]]&lt;=E$427,E$427,IF(Tabell2[[#This Row],[Beftettotal]]&gt;=E$428,E$428,Tabell2[[#This Row],[Beftettotal]]))</f>
        <v>7.0898451811453871</v>
      </c>
      <c r="O85" s="32">
        <f>IF(Tabell2[[#This Row],[Befvekst10]]&lt;=F$427,F$427,IF(Tabell2[[#This Row],[Befvekst10]]&gt;=F$428,F$428,Tabell2[[#This Row],[Befvekst10]]))</f>
        <v>7.8869047619047894E-3</v>
      </c>
      <c r="P85" s="32">
        <f>IF(Tabell2[[#This Row],[Kvinneandel]]&lt;=G$427,G$427,IF(Tabell2[[#This Row],[Kvinneandel]]&gt;=G$428,G$428,Tabell2[[#This Row],[Kvinneandel]]))</f>
        <v>0.1018750922781633</v>
      </c>
      <c r="Q85" s="32">
        <f>IF(Tabell2[[#This Row],[Eldreandel]]&lt;=H$427,H$427,IF(Tabell2[[#This Row],[Eldreandel]]&gt;=H$428,H$428,Tabell2[[#This Row],[Eldreandel]]))</f>
        <v>0.19311974014469216</v>
      </c>
      <c r="R85" s="32">
        <f>IF(Tabell2[[#This Row],[Sysselsettingsvekst10]]&lt;=I$427,I$427,IF(Tabell2[[#This Row],[Sysselsettingsvekst10]]&gt;=I$428,I$428,Tabell2[[#This Row],[Sysselsettingsvekst10]]))</f>
        <v>5.0650721069293025E-2</v>
      </c>
      <c r="S85" s="32">
        <f>IF(Tabell2[[#This Row],[Yrkesaktivandel]]&lt;=J$427,J$427,IF(Tabell2[[#This Row],[Yrkesaktivandel]]&gt;=J$428,J$428,Tabell2[[#This Row],[Yrkesaktivandel]]))</f>
        <v>0.84657749803304483</v>
      </c>
      <c r="T85" s="67">
        <f>IF(Tabell2[[#This Row],[Inntekt]]&lt;=K$427,K$427,IF(Tabell2[[#This Row],[Inntekt]]&gt;=K$428,K$428,Tabell2[[#This Row],[Inntekt]]))</f>
        <v>359130</v>
      </c>
      <c r="U85" s="10">
        <f>IF(Tabell2[[#This Row],[NIBR11-T]]&lt;=L$430,100,IF(Tabell2[[#This Row],[NIBR11-T]]&gt;=L$429,0,100*(L$429-Tabell2[[#This Row],[NIBR11-T]])/L$432))</f>
        <v>70</v>
      </c>
      <c r="V85" s="10">
        <f>(M$429-Tabell2[[#This Row],[ReisetidOslo-T]])*100/M$432</f>
        <v>71.079337190633424</v>
      </c>
      <c r="W85" s="10">
        <f>100-(N$429-Tabell2[[#This Row],[Beftettotal-T]])*100/N$432</f>
        <v>4.355867283755714</v>
      </c>
      <c r="X85" s="10">
        <f>100-(O$429-Tabell2[[#This Row],[Befvekst10-T]])*100/O$432</f>
        <v>26.886152007902638</v>
      </c>
      <c r="Y85" s="10">
        <f>100-(P$429-Tabell2[[#This Row],[Kvinneandel-T]])*100/P$432</f>
        <v>31.585709989917817</v>
      </c>
      <c r="Z85" s="10">
        <f>(Q$429-Tabell2[[#This Row],[Eldreandel-T]])*100/Q$432</f>
        <v>32.263667421984472</v>
      </c>
      <c r="AA85" s="10">
        <f>100-(R$429-Tabell2[[#This Row],[Sysselsettingsvekst10-T]])*100/R$432</f>
        <v>55.08309140720187</v>
      </c>
      <c r="AB85" s="10">
        <f>100-(S$429-Tabell2[[#This Row],[Yrkesaktivandel-T]])*100/S$432</f>
        <v>38.419487099543147</v>
      </c>
      <c r="AC85" s="10">
        <f>100-(T$429-Tabell2[[#This Row],[Inntekt-T]])*100/T$432</f>
        <v>0</v>
      </c>
      <c r="AD8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39.463477570289058</v>
      </c>
    </row>
    <row r="86" spans="1:30" x14ac:dyDescent="0.25">
      <c r="A86" s="2" t="s">
        <v>84</v>
      </c>
      <c r="B86" s="2">
        <v>84</v>
      </c>
      <c r="C86">
        <f>'Rådata-K'!N85</f>
        <v>10</v>
      </c>
      <c r="D86" s="30">
        <f>'Rådata-K'!M85</f>
        <v>123.078125</v>
      </c>
      <c r="E86" s="32">
        <f>'Rådata-K'!O85</f>
        <v>2.7284858977133379</v>
      </c>
      <c r="F86" s="32">
        <f>'Rådata-K'!P85</f>
        <v>-5.2598622417031948E-2</v>
      </c>
      <c r="G86" s="32">
        <f>'Rådata-K'!Q85</f>
        <v>9.2200925313945803E-2</v>
      </c>
      <c r="H86" s="32">
        <f>'Rådata-K'!R85</f>
        <v>0.21810971579643093</v>
      </c>
      <c r="I86" s="32">
        <f>'Rådata-K'!S85</f>
        <v>-7.8592814371257536E-2</v>
      </c>
      <c r="J86" s="32">
        <f>'Rådata-K'!T85</f>
        <v>0.92188468691878489</v>
      </c>
      <c r="K86" s="67">
        <f>'Rådata-K'!L85</f>
        <v>353300</v>
      </c>
      <c r="L86" s="18">
        <f>Tabell2[[#This Row],[NIBR11]]</f>
        <v>10</v>
      </c>
      <c r="M86" s="32">
        <f>IF(Tabell2[[#This Row],[ReisetidOslo]]&lt;=D$427,D$427,IF(Tabell2[[#This Row],[ReisetidOslo]]&gt;=D$428,D$428,Tabell2[[#This Row],[ReisetidOslo]]))</f>
        <v>123.078125</v>
      </c>
      <c r="N86" s="32">
        <f>IF(Tabell2[[#This Row],[Beftettotal]]&lt;=E$427,E$427,IF(Tabell2[[#This Row],[Beftettotal]]&gt;=E$428,E$428,Tabell2[[#This Row],[Beftettotal]]))</f>
        <v>2.7284858977133379</v>
      </c>
      <c r="O86" s="32">
        <f>IF(Tabell2[[#This Row],[Befvekst10]]&lt;=F$427,F$427,IF(Tabell2[[#This Row],[Befvekst10]]&gt;=F$428,F$428,Tabell2[[#This Row],[Befvekst10]]))</f>
        <v>-5.2598622417031948E-2</v>
      </c>
      <c r="P86" s="32">
        <f>IF(Tabell2[[#This Row],[Kvinneandel]]&lt;=G$427,G$427,IF(Tabell2[[#This Row],[Kvinneandel]]&gt;=G$428,G$428,Tabell2[[#This Row],[Kvinneandel]]))</f>
        <v>9.2200925313945803E-2</v>
      </c>
      <c r="Q86" s="32">
        <f>IF(Tabell2[[#This Row],[Eldreandel]]&lt;=H$427,H$427,IF(Tabell2[[#This Row],[Eldreandel]]&gt;=H$428,H$428,Tabell2[[#This Row],[Eldreandel]]))</f>
        <v>0.21810971579643093</v>
      </c>
      <c r="R86" s="32">
        <f>IF(Tabell2[[#This Row],[Sysselsettingsvekst10]]&lt;=I$427,I$427,IF(Tabell2[[#This Row],[Sysselsettingsvekst10]]&gt;=I$428,I$428,Tabell2[[#This Row],[Sysselsettingsvekst10]]))</f>
        <v>-7.8592814371257536E-2</v>
      </c>
      <c r="S86" s="32">
        <f>IF(Tabell2[[#This Row],[Yrkesaktivandel]]&lt;=J$427,J$427,IF(Tabell2[[#This Row],[Yrkesaktivandel]]&gt;=J$428,J$428,Tabell2[[#This Row],[Yrkesaktivandel]]))</f>
        <v>0.92188468691878489</v>
      </c>
      <c r="T86" s="67">
        <f>IF(Tabell2[[#This Row],[Inntekt]]&lt;=K$427,K$427,IF(Tabell2[[#This Row],[Inntekt]]&gt;=K$428,K$428,Tabell2[[#This Row],[Inntekt]]))</f>
        <v>359130</v>
      </c>
      <c r="U86" s="10">
        <f>IF(Tabell2[[#This Row],[NIBR11-T]]&lt;=L$430,100,IF(Tabell2[[#This Row],[NIBR11-T]]&gt;=L$429,0,100*(L$429-Tabell2[[#This Row],[NIBR11-T]])/L$432))</f>
        <v>10</v>
      </c>
      <c r="V86" s="10">
        <f>(M$429-Tabell2[[#This Row],[ReisetidOslo-T]])*100/M$432</f>
        <v>70.507137351522559</v>
      </c>
      <c r="W86" s="10">
        <f>100-(N$429-Tabell2[[#This Row],[Beftettotal-T]])*100/N$432</f>
        <v>1.1053206466407062</v>
      </c>
      <c r="X86" s="10">
        <f>100-(O$429-Tabell2[[#This Row],[Befvekst10-T]])*100/O$432</f>
        <v>0.83051082529161135</v>
      </c>
      <c r="Y86" s="10">
        <f>100-(P$429-Tabell2[[#This Row],[Kvinneandel-T]])*100/P$432</f>
        <v>6.0333018994984258</v>
      </c>
      <c r="Z86" s="10">
        <f>(Q$429-Tabell2[[#This Row],[Eldreandel-T]])*100/Q$432</f>
        <v>5.3091730618113404</v>
      </c>
      <c r="AA86" s="10">
        <f>100-(R$429-Tabell2[[#This Row],[Sysselsettingsvekst10-T]])*100/R$432</f>
        <v>9.8679984184303464</v>
      </c>
      <c r="AB86" s="10">
        <f>100-(S$429-Tabell2[[#This Row],[Yrkesaktivandel-T]])*100/S$432</f>
        <v>96.831045759336888</v>
      </c>
      <c r="AC86" s="10">
        <f>100-(T$429-Tabell2[[#This Row],[Inntekt-T]])*100/T$432</f>
        <v>0</v>
      </c>
      <c r="AD8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20.564376130716866</v>
      </c>
    </row>
    <row r="87" spans="1:30" x14ac:dyDescent="0.25">
      <c r="A87" s="2" t="s">
        <v>85</v>
      </c>
      <c r="B87" s="2">
        <v>85</v>
      </c>
      <c r="C87">
        <f>'Rådata-K'!N86</f>
        <v>5</v>
      </c>
      <c r="D87" s="30">
        <f>'Rådata-K'!M86</f>
        <v>134.46875</v>
      </c>
      <c r="E87" s="32">
        <f>'Rådata-K'!O86</f>
        <v>2.9423935533050205</v>
      </c>
      <c r="F87" s="32">
        <f>'Rådata-K'!P86</f>
        <v>-3.0846484935437624E-2</v>
      </c>
      <c r="G87" s="32">
        <f>'Rådata-K'!Q86</f>
        <v>8.6602516654330122E-2</v>
      </c>
      <c r="H87" s="32">
        <f>'Rådata-K'!R86</f>
        <v>0.21761658031088082</v>
      </c>
      <c r="I87" s="32">
        <f>'Rådata-K'!S86</f>
        <v>2.8169014084507005E-2</v>
      </c>
      <c r="J87" s="32">
        <f>'Rådata-K'!T86</f>
        <v>0.87430939226519333</v>
      </c>
      <c r="K87" s="67">
        <f>'Rådata-K'!L86</f>
        <v>336600</v>
      </c>
      <c r="L87" s="18">
        <f>Tabell2[[#This Row],[NIBR11]]</f>
        <v>5</v>
      </c>
      <c r="M87" s="32">
        <f>IF(Tabell2[[#This Row],[ReisetidOslo]]&lt;=D$427,D$427,IF(Tabell2[[#This Row],[ReisetidOslo]]&gt;=D$428,D$428,Tabell2[[#This Row],[ReisetidOslo]]))</f>
        <v>134.46875</v>
      </c>
      <c r="N87" s="32">
        <f>IF(Tabell2[[#This Row],[Beftettotal]]&lt;=E$427,E$427,IF(Tabell2[[#This Row],[Beftettotal]]&gt;=E$428,E$428,Tabell2[[#This Row],[Beftettotal]]))</f>
        <v>2.9423935533050205</v>
      </c>
      <c r="O87" s="32">
        <f>IF(Tabell2[[#This Row],[Befvekst10]]&lt;=F$427,F$427,IF(Tabell2[[#This Row],[Befvekst10]]&gt;=F$428,F$428,Tabell2[[#This Row],[Befvekst10]]))</f>
        <v>-3.0846484935437624E-2</v>
      </c>
      <c r="P87" s="32">
        <f>IF(Tabell2[[#This Row],[Kvinneandel]]&lt;=G$427,G$427,IF(Tabell2[[#This Row],[Kvinneandel]]&gt;=G$428,G$428,Tabell2[[#This Row],[Kvinneandel]]))</f>
        <v>8.9916711250255951E-2</v>
      </c>
      <c r="Q87" s="32">
        <f>IF(Tabell2[[#This Row],[Eldreandel]]&lt;=H$427,H$427,IF(Tabell2[[#This Row],[Eldreandel]]&gt;=H$428,H$428,Tabell2[[#This Row],[Eldreandel]]))</f>
        <v>0.21761658031088082</v>
      </c>
      <c r="R87" s="32">
        <f>IF(Tabell2[[#This Row],[Sysselsettingsvekst10]]&lt;=I$427,I$427,IF(Tabell2[[#This Row],[Sysselsettingsvekst10]]&gt;=I$428,I$428,Tabell2[[#This Row],[Sysselsettingsvekst10]]))</f>
        <v>2.8169014084507005E-2</v>
      </c>
      <c r="S87" s="32">
        <f>IF(Tabell2[[#This Row],[Yrkesaktivandel]]&lt;=J$427,J$427,IF(Tabell2[[#This Row],[Yrkesaktivandel]]&gt;=J$428,J$428,Tabell2[[#This Row],[Yrkesaktivandel]]))</f>
        <v>0.87430939226519333</v>
      </c>
      <c r="T87" s="67">
        <f>IF(Tabell2[[#This Row],[Inntekt]]&lt;=K$427,K$427,IF(Tabell2[[#This Row],[Inntekt]]&gt;=K$428,K$428,Tabell2[[#This Row],[Inntekt]]))</f>
        <v>359130</v>
      </c>
      <c r="U87" s="10">
        <f>IF(Tabell2[[#This Row],[NIBR11-T]]&lt;=L$430,100,IF(Tabell2[[#This Row],[NIBR11-T]]&gt;=L$429,0,100*(L$429-Tabell2[[#This Row],[NIBR11-T]])/L$432))</f>
        <v>60</v>
      </c>
      <c r="V87" s="10">
        <f>(M$429-Tabell2[[#This Row],[ReisetidOslo-T]])*100/M$432</f>
        <v>65.599682260795234</v>
      </c>
      <c r="W87" s="10">
        <f>100-(N$429-Tabell2[[#This Row],[Beftettotal-T]])*100/N$432</f>
        <v>1.2647472761270677</v>
      </c>
      <c r="X87" s="10">
        <f>100-(O$429-Tabell2[[#This Row],[Befvekst10-T]])*100/O$432</f>
        <v>10.200783609697709</v>
      </c>
      <c r="Y87" s="10">
        <f>100-(P$429-Tabell2[[#This Row],[Kvinneandel-T]])*100/P$432</f>
        <v>0</v>
      </c>
      <c r="Z87" s="10">
        <f>(Q$429-Tabell2[[#This Row],[Eldreandel-T]])*100/Q$432</f>
        <v>5.8410750472034989</v>
      </c>
      <c r="AA87" s="10">
        <f>100-(R$429-Tabell2[[#This Row],[Sysselsettingsvekst10-T]])*100/R$432</f>
        <v>47.2179980514805</v>
      </c>
      <c r="AB87" s="10">
        <f>100-(S$429-Tabell2[[#This Row],[Yrkesaktivandel-T]])*100/S$432</f>
        <v>59.929560581984212</v>
      </c>
      <c r="AC87" s="10">
        <f>100-(T$429-Tabell2[[#This Row],[Inntekt-T]])*100/T$432</f>
        <v>0</v>
      </c>
      <c r="AD8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31.733409291338418</v>
      </c>
    </row>
    <row r="88" spans="1:30" x14ac:dyDescent="0.25">
      <c r="A88" s="2" t="s">
        <v>86</v>
      </c>
      <c r="B88" s="2">
        <v>86</v>
      </c>
      <c r="C88">
        <f>'Rådata-K'!N87</f>
        <v>10</v>
      </c>
      <c r="D88" s="30">
        <f>'Rådata-K'!M87</f>
        <v>147.3125</v>
      </c>
      <c r="E88" s="32">
        <f>'Rådata-K'!O87</f>
        <v>7.1592463486740501</v>
      </c>
      <c r="F88" s="32">
        <f>'Rådata-K'!P87</f>
        <v>1.5967438948027546E-2</v>
      </c>
      <c r="G88" s="32">
        <f>'Rådata-K'!Q87</f>
        <v>0.10338983050847457</v>
      </c>
      <c r="H88" s="32">
        <f>'Rådata-K'!R87</f>
        <v>0.19167950693374422</v>
      </c>
      <c r="I88" s="32">
        <f>'Rådata-K'!S87</f>
        <v>-3.1030303030303075E-2</v>
      </c>
      <c r="J88" s="32">
        <f>'Rådata-K'!T87</f>
        <v>0.92164892164892165</v>
      </c>
      <c r="K88" s="67">
        <f>'Rådata-K'!L87</f>
        <v>385400</v>
      </c>
      <c r="L88" s="18">
        <f>Tabell2[[#This Row],[NIBR11]]</f>
        <v>10</v>
      </c>
      <c r="M88" s="32">
        <f>IF(Tabell2[[#This Row],[ReisetidOslo]]&lt;=D$427,D$427,IF(Tabell2[[#This Row],[ReisetidOslo]]&gt;=D$428,D$428,Tabell2[[#This Row],[ReisetidOslo]]))</f>
        <v>147.3125</v>
      </c>
      <c r="N88" s="32">
        <f>IF(Tabell2[[#This Row],[Beftettotal]]&lt;=E$427,E$427,IF(Tabell2[[#This Row],[Beftettotal]]&gt;=E$428,E$428,Tabell2[[#This Row],[Beftettotal]]))</f>
        <v>7.1592463486740501</v>
      </c>
      <c r="O88" s="32">
        <f>IF(Tabell2[[#This Row],[Befvekst10]]&lt;=F$427,F$427,IF(Tabell2[[#This Row],[Befvekst10]]&gt;=F$428,F$428,Tabell2[[#This Row],[Befvekst10]]))</f>
        <v>1.5967438948027546E-2</v>
      </c>
      <c r="P88" s="32">
        <f>IF(Tabell2[[#This Row],[Kvinneandel]]&lt;=G$427,G$427,IF(Tabell2[[#This Row],[Kvinneandel]]&gt;=G$428,G$428,Tabell2[[#This Row],[Kvinneandel]]))</f>
        <v>0.10338983050847457</v>
      </c>
      <c r="Q88" s="32">
        <f>IF(Tabell2[[#This Row],[Eldreandel]]&lt;=H$427,H$427,IF(Tabell2[[#This Row],[Eldreandel]]&gt;=H$428,H$428,Tabell2[[#This Row],[Eldreandel]]))</f>
        <v>0.19167950693374422</v>
      </c>
      <c r="R88" s="32">
        <f>IF(Tabell2[[#This Row],[Sysselsettingsvekst10]]&lt;=I$427,I$427,IF(Tabell2[[#This Row],[Sysselsettingsvekst10]]&gt;=I$428,I$428,Tabell2[[#This Row],[Sysselsettingsvekst10]]))</f>
        <v>-3.1030303030303075E-2</v>
      </c>
      <c r="S88" s="32">
        <f>IF(Tabell2[[#This Row],[Yrkesaktivandel]]&lt;=J$427,J$427,IF(Tabell2[[#This Row],[Yrkesaktivandel]]&gt;=J$428,J$428,Tabell2[[#This Row],[Yrkesaktivandel]]))</f>
        <v>0.92164892164892165</v>
      </c>
      <c r="T88" s="67">
        <f>IF(Tabell2[[#This Row],[Inntekt]]&lt;=K$427,K$427,IF(Tabell2[[#This Row],[Inntekt]]&gt;=K$428,K$428,Tabell2[[#This Row],[Inntekt]]))</f>
        <v>385400</v>
      </c>
      <c r="U88" s="10">
        <f>IF(Tabell2[[#This Row],[NIBR11-T]]&lt;=L$430,100,IF(Tabell2[[#This Row],[NIBR11-T]]&gt;=L$429,0,100*(L$429-Tabell2[[#This Row],[NIBR11-T]])/L$432))</f>
        <v>10</v>
      </c>
      <c r="V88" s="10">
        <f>(M$429-Tabell2[[#This Row],[ReisetidOslo-T]])*100/M$432</f>
        <v>60.066173228452477</v>
      </c>
      <c r="W88" s="10">
        <f>100-(N$429-Tabell2[[#This Row],[Beftettotal-T]])*100/N$432</f>
        <v>4.4075923806949078</v>
      </c>
      <c r="X88" s="10">
        <f>100-(O$429-Tabell2[[#This Row],[Befvekst10-T]])*100/O$432</f>
        <v>30.367042547131589</v>
      </c>
      <c r="Y88" s="10">
        <f>100-(P$429-Tabell2[[#This Row],[Kvinneandel-T]])*100/P$432</f>
        <v>35.586592913918921</v>
      </c>
      <c r="Z88" s="10">
        <f>(Q$429-Tabell2[[#This Row],[Eldreandel-T]])*100/Q$432</f>
        <v>33.817120634698156</v>
      </c>
      <c r="AA88" s="10">
        <f>100-(R$429-Tabell2[[#This Row],[Sysselsettingsvekst10-T]])*100/R$432</f>
        <v>26.507464104123869</v>
      </c>
      <c r="AB88" s="10">
        <f>100-(S$429-Tabell2[[#This Row],[Yrkesaktivandel-T]])*100/S$432</f>
        <v>96.64817587540783</v>
      </c>
      <c r="AC88" s="10">
        <f>100-(T$429-Tabell2[[#This Row],[Inntekt-T]])*100/T$432</f>
        <v>29.179162501388433</v>
      </c>
      <c r="AD8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33.224450995863926</v>
      </c>
    </row>
    <row r="89" spans="1:30" x14ac:dyDescent="0.25">
      <c r="A89" s="2" t="s">
        <v>87</v>
      </c>
      <c r="B89" s="2">
        <v>87</v>
      </c>
      <c r="C89">
        <f>'Rådata-K'!N88</f>
        <v>10</v>
      </c>
      <c r="D89" s="30">
        <f>'Rådata-K'!M88</f>
        <v>166.28125</v>
      </c>
      <c r="E89" s="32">
        <f>'Rådata-K'!O88</f>
        <v>4.5634106853750671</v>
      </c>
      <c r="F89" s="32">
        <f>'Rådata-K'!P88</f>
        <v>-4.4303797468354444E-2</v>
      </c>
      <c r="G89" s="32">
        <f>'Rådata-K'!Q88</f>
        <v>9.4134342478713343E-2</v>
      </c>
      <c r="H89" s="32">
        <f>'Rådata-K'!R88</f>
        <v>0.19962157048249762</v>
      </c>
      <c r="I89" s="32">
        <f>'Rådata-K'!S88</f>
        <v>-6.243272335844996E-2</v>
      </c>
      <c r="J89" s="32">
        <f>'Rådata-K'!T88</f>
        <v>0.93597304128053915</v>
      </c>
      <c r="K89" s="67">
        <f>'Rådata-K'!L88</f>
        <v>380500</v>
      </c>
      <c r="L89" s="18">
        <f>Tabell2[[#This Row],[NIBR11]]</f>
        <v>10</v>
      </c>
      <c r="M89" s="32">
        <f>IF(Tabell2[[#This Row],[ReisetidOslo]]&lt;=D$427,D$427,IF(Tabell2[[#This Row],[ReisetidOslo]]&gt;=D$428,D$428,Tabell2[[#This Row],[ReisetidOslo]]))</f>
        <v>166.28125</v>
      </c>
      <c r="N89" s="32">
        <f>IF(Tabell2[[#This Row],[Beftettotal]]&lt;=E$427,E$427,IF(Tabell2[[#This Row],[Beftettotal]]&gt;=E$428,E$428,Tabell2[[#This Row],[Beftettotal]]))</f>
        <v>4.5634106853750671</v>
      </c>
      <c r="O89" s="32">
        <f>IF(Tabell2[[#This Row],[Befvekst10]]&lt;=F$427,F$427,IF(Tabell2[[#This Row],[Befvekst10]]&gt;=F$428,F$428,Tabell2[[#This Row],[Befvekst10]]))</f>
        <v>-4.4303797468354444E-2</v>
      </c>
      <c r="P89" s="32">
        <f>IF(Tabell2[[#This Row],[Kvinneandel]]&lt;=G$427,G$427,IF(Tabell2[[#This Row],[Kvinneandel]]&gt;=G$428,G$428,Tabell2[[#This Row],[Kvinneandel]]))</f>
        <v>9.4134342478713343E-2</v>
      </c>
      <c r="Q89" s="32">
        <f>IF(Tabell2[[#This Row],[Eldreandel]]&lt;=H$427,H$427,IF(Tabell2[[#This Row],[Eldreandel]]&gt;=H$428,H$428,Tabell2[[#This Row],[Eldreandel]]))</f>
        <v>0.19962157048249762</v>
      </c>
      <c r="R89" s="32">
        <f>IF(Tabell2[[#This Row],[Sysselsettingsvekst10]]&lt;=I$427,I$427,IF(Tabell2[[#This Row],[Sysselsettingsvekst10]]&gt;=I$428,I$428,Tabell2[[#This Row],[Sysselsettingsvekst10]]))</f>
        <v>-6.243272335844996E-2</v>
      </c>
      <c r="S89" s="32">
        <f>IF(Tabell2[[#This Row],[Yrkesaktivandel]]&lt;=J$427,J$427,IF(Tabell2[[#This Row],[Yrkesaktivandel]]&gt;=J$428,J$428,Tabell2[[#This Row],[Yrkesaktivandel]]))</f>
        <v>0.92597026588718434</v>
      </c>
      <c r="T89" s="67">
        <f>IF(Tabell2[[#This Row],[Inntekt]]&lt;=K$427,K$427,IF(Tabell2[[#This Row],[Inntekt]]&gt;=K$428,K$428,Tabell2[[#This Row],[Inntekt]]))</f>
        <v>380500</v>
      </c>
      <c r="U89" s="10">
        <f>IF(Tabell2[[#This Row],[NIBR11-T]]&lt;=L$430,100,IF(Tabell2[[#This Row],[NIBR11-T]]&gt;=L$429,0,100*(L$429-Tabell2[[#This Row],[NIBR11-T]])/L$432))</f>
        <v>10</v>
      </c>
      <c r="V89" s="10">
        <f>(M$429-Tabell2[[#This Row],[ReisetidOslo-T]])*100/M$432</f>
        <v>51.893813173386654</v>
      </c>
      <c r="W89" s="10">
        <f>100-(N$429-Tabell2[[#This Row],[Beftettotal-T]])*100/N$432</f>
        <v>2.4729008459035242</v>
      </c>
      <c r="X89" s="10">
        <f>100-(O$429-Tabell2[[#This Row],[Befvekst10-T]])*100/O$432</f>
        <v>4.4037124259974121</v>
      </c>
      <c r="Y89" s="10">
        <f>100-(P$429-Tabell2[[#This Row],[Kvinneandel-T]])*100/P$432</f>
        <v>11.140042829843509</v>
      </c>
      <c r="Z89" s="10">
        <f>(Q$429-Tabell2[[#This Row],[Eldreandel-T]])*100/Q$432</f>
        <v>25.25071344341643</v>
      </c>
      <c r="AA89" s="10">
        <f>100-(R$429-Tabell2[[#This Row],[Sysselsettingsvekst10-T]])*100/R$432</f>
        <v>15.521511496360674</v>
      </c>
      <c r="AB89" s="10">
        <f>100-(S$429-Tabell2[[#This Row],[Yrkesaktivandel-T]])*100/S$432</f>
        <v>100</v>
      </c>
      <c r="AC89" s="10">
        <f>100-(T$429-Tabell2[[#This Row],[Inntekt-T]])*100/T$432</f>
        <v>23.736532267022099</v>
      </c>
      <c r="AD8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24.062756077129777</v>
      </c>
    </row>
    <row r="90" spans="1:30" x14ac:dyDescent="0.25">
      <c r="A90" s="2" t="s">
        <v>88</v>
      </c>
      <c r="B90" s="2">
        <v>88</v>
      </c>
      <c r="C90">
        <f>'Rådata-K'!N89</f>
        <v>10</v>
      </c>
      <c r="D90" s="30">
        <f>'Rådata-K'!M89</f>
        <v>166.375</v>
      </c>
      <c r="E90" s="32">
        <f>'Rådata-K'!O89</f>
        <v>3.3724081361422891</v>
      </c>
      <c r="F90" s="32">
        <f>'Rådata-K'!P89</f>
        <v>2.5900189513581751E-2</v>
      </c>
      <c r="G90" s="32">
        <f>'Rådata-K'!Q89</f>
        <v>0.1188423645320197</v>
      </c>
      <c r="H90" s="32">
        <f>'Rådata-K'!R89</f>
        <v>0.18165024630541871</v>
      </c>
      <c r="I90" s="32">
        <f>'Rådata-K'!S89</f>
        <v>-9.5377842993397133E-3</v>
      </c>
      <c r="J90" s="32">
        <f>'Rådata-K'!T89</f>
        <v>0.95939361126150513</v>
      </c>
      <c r="K90" s="67">
        <f>'Rådata-K'!L89</f>
        <v>388700</v>
      </c>
      <c r="L90" s="18">
        <f>Tabell2[[#This Row],[NIBR11]]</f>
        <v>10</v>
      </c>
      <c r="M90" s="32">
        <f>IF(Tabell2[[#This Row],[ReisetidOslo]]&lt;=D$427,D$427,IF(Tabell2[[#This Row],[ReisetidOslo]]&gt;=D$428,D$428,Tabell2[[#This Row],[ReisetidOslo]]))</f>
        <v>166.375</v>
      </c>
      <c r="N90" s="32">
        <f>IF(Tabell2[[#This Row],[Beftettotal]]&lt;=E$427,E$427,IF(Tabell2[[#This Row],[Beftettotal]]&gt;=E$428,E$428,Tabell2[[#This Row],[Beftettotal]]))</f>
        <v>3.3724081361422891</v>
      </c>
      <c r="O90" s="32">
        <f>IF(Tabell2[[#This Row],[Befvekst10]]&lt;=F$427,F$427,IF(Tabell2[[#This Row],[Befvekst10]]&gt;=F$428,F$428,Tabell2[[#This Row],[Befvekst10]]))</f>
        <v>2.5900189513581751E-2</v>
      </c>
      <c r="P90" s="32">
        <f>IF(Tabell2[[#This Row],[Kvinneandel]]&lt;=G$427,G$427,IF(Tabell2[[#This Row],[Kvinneandel]]&gt;=G$428,G$428,Tabell2[[#This Row],[Kvinneandel]]))</f>
        <v>0.1188423645320197</v>
      </c>
      <c r="Q90" s="32">
        <f>IF(Tabell2[[#This Row],[Eldreandel]]&lt;=H$427,H$427,IF(Tabell2[[#This Row],[Eldreandel]]&gt;=H$428,H$428,Tabell2[[#This Row],[Eldreandel]]))</f>
        <v>0.18165024630541871</v>
      </c>
      <c r="R90" s="32">
        <f>IF(Tabell2[[#This Row],[Sysselsettingsvekst10]]&lt;=I$427,I$427,IF(Tabell2[[#This Row],[Sysselsettingsvekst10]]&gt;=I$428,I$428,Tabell2[[#This Row],[Sysselsettingsvekst10]]))</f>
        <v>-9.5377842993397133E-3</v>
      </c>
      <c r="S90" s="32">
        <f>IF(Tabell2[[#This Row],[Yrkesaktivandel]]&lt;=J$427,J$427,IF(Tabell2[[#This Row],[Yrkesaktivandel]]&gt;=J$428,J$428,Tabell2[[#This Row],[Yrkesaktivandel]]))</f>
        <v>0.92597026588718434</v>
      </c>
      <c r="T90" s="67">
        <f>IF(Tabell2[[#This Row],[Inntekt]]&lt;=K$427,K$427,IF(Tabell2[[#This Row],[Inntekt]]&gt;=K$428,K$428,Tabell2[[#This Row],[Inntekt]]))</f>
        <v>388700</v>
      </c>
      <c r="U90" s="10">
        <f>IF(Tabell2[[#This Row],[NIBR11-T]]&lt;=L$430,100,IF(Tabell2[[#This Row],[NIBR11-T]]&gt;=L$429,0,100*(L$429-Tabell2[[#This Row],[NIBR11-T]])/L$432))</f>
        <v>10</v>
      </c>
      <c r="V90" s="10">
        <f>(M$429-Tabell2[[#This Row],[ReisetidOslo-T]])*100/M$432</f>
        <v>51.853422596508238</v>
      </c>
      <c r="W90" s="10">
        <f>100-(N$429-Tabell2[[#This Row],[Beftettotal-T]])*100/N$432</f>
        <v>1.5852396651540488</v>
      </c>
      <c r="X90" s="10">
        <f>100-(O$429-Tabell2[[#This Row],[Befvekst10-T]])*100/O$432</f>
        <v>34.645821236235619</v>
      </c>
      <c r="Y90" s="10">
        <f>100-(P$429-Tabell2[[#This Row],[Kvinneandel-T]])*100/P$432</f>
        <v>76.401420367401187</v>
      </c>
      <c r="Z90" s="10">
        <f>(Q$429-Tabell2[[#This Row],[Eldreandel-T]])*100/Q$432</f>
        <v>44.634804205514165</v>
      </c>
      <c r="AA90" s="10">
        <f>100-(R$429-Tabell2[[#This Row],[Sysselsettingsvekst10-T]])*100/R$432</f>
        <v>34.026495749853069</v>
      </c>
      <c r="AB90" s="10">
        <f>100-(S$429-Tabell2[[#This Row],[Yrkesaktivandel-T]])*100/S$432</f>
        <v>100</v>
      </c>
      <c r="AC90" s="10">
        <f>100-(T$429-Tabell2[[#This Row],[Inntekt-T]])*100/T$432</f>
        <v>32.844607353104522</v>
      </c>
      <c r="AD9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37.01195201235489</v>
      </c>
    </row>
    <row r="91" spans="1:30" x14ac:dyDescent="0.25">
      <c r="A91" s="2" t="s">
        <v>89</v>
      </c>
      <c r="B91" s="2">
        <v>89</v>
      </c>
      <c r="C91">
        <f>'Rådata-K'!N90</f>
        <v>10</v>
      </c>
      <c r="D91" s="30">
        <f>'Rådata-K'!M90</f>
        <v>187.75</v>
      </c>
      <c r="E91" s="32">
        <f>'Rådata-K'!O90</f>
        <v>1.0601481284665717</v>
      </c>
      <c r="F91" s="32">
        <f>'Rådata-K'!P90</f>
        <v>3.14267756128217E-3</v>
      </c>
      <c r="G91" s="32">
        <f>'Rådata-K'!Q90</f>
        <v>0.11090225563909774</v>
      </c>
      <c r="H91" s="32">
        <f>'Rådata-K'!R90</f>
        <v>0.19235588972431078</v>
      </c>
      <c r="I91" s="32">
        <f>'Rådata-K'!S90</f>
        <v>6.8587105624142719E-3</v>
      </c>
      <c r="J91" s="32">
        <f>'Rådata-K'!T90</f>
        <v>0.90848952590959209</v>
      </c>
      <c r="K91" s="67">
        <f>'Rådata-K'!L90</f>
        <v>341300</v>
      </c>
      <c r="L91" s="18">
        <f>Tabell2[[#This Row],[NIBR11]]</f>
        <v>10</v>
      </c>
      <c r="M91" s="32">
        <f>IF(Tabell2[[#This Row],[ReisetidOslo]]&lt;=D$427,D$427,IF(Tabell2[[#This Row],[ReisetidOslo]]&gt;=D$428,D$428,Tabell2[[#This Row],[ReisetidOslo]]))</f>
        <v>187.75</v>
      </c>
      <c r="N91" s="32">
        <f>IF(Tabell2[[#This Row],[Beftettotal]]&lt;=E$427,E$427,IF(Tabell2[[#This Row],[Beftettotal]]&gt;=E$428,E$428,Tabell2[[#This Row],[Beftettotal]]))</f>
        <v>1.2454428893921135</v>
      </c>
      <c r="O91" s="32">
        <f>IF(Tabell2[[#This Row],[Befvekst10]]&lt;=F$427,F$427,IF(Tabell2[[#This Row],[Befvekst10]]&gt;=F$428,F$428,Tabell2[[#This Row],[Befvekst10]]))</f>
        <v>3.14267756128217E-3</v>
      </c>
      <c r="P91" s="32">
        <f>IF(Tabell2[[#This Row],[Kvinneandel]]&lt;=G$427,G$427,IF(Tabell2[[#This Row],[Kvinneandel]]&gt;=G$428,G$428,Tabell2[[#This Row],[Kvinneandel]]))</f>
        <v>0.11090225563909774</v>
      </c>
      <c r="Q91" s="32">
        <f>IF(Tabell2[[#This Row],[Eldreandel]]&lt;=H$427,H$427,IF(Tabell2[[#This Row],[Eldreandel]]&gt;=H$428,H$428,Tabell2[[#This Row],[Eldreandel]]))</f>
        <v>0.19235588972431078</v>
      </c>
      <c r="R91" s="32">
        <f>IF(Tabell2[[#This Row],[Sysselsettingsvekst10]]&lt;=I$427,I$427,IF(Tabell2[[#This Row],[Sysselsettingsvekst10]]&gt;=I$428,I$428,Tabell2[[#This Row],[Sysselsettingsvekst10]]))</f>
        <v>6.8587105624142719E-3</v>
      </c>
      <c r="S91" s="32">
        <f>IF(Tabell2[[#This Row],[Yrkesaktivandel]]&lt;=J$427,J$427,IF(Tabell2[[#This Row],[Yrkesaktivandel]]&gt;=J$428,J$428,Tabell2[[#This Row],[Yrkesaktivandel]]))</f>
        <v>0.90848952590959209</v>
      </c>
      <c r="T91" s="67">
        <f>IF(Tabell2[[#This Row],[Inntekt]]&lt;=K$427,K$427,IF(Tabell2[[#This Row],[Inntekt]]&gt;=K$428,K$428,Tabell2[[#This Row],[Inntekt]]))</f>
        <v>359130</v>
      </c>
      <c r="U91" s="10">
        <f>IF(Tabell2[[#This Row],[NIBR11-T]]&lt;=L$430,100,IF(Tabell2[[#This Row],[NIBR11-T]]&gt;=L$429,0,100*(L$429-Tabell2[[#This Row],[NIBR11-T]])/L$432))</f>
        <v>10</v>
      </c>
      <c r="V91" s="10">
        <f>(M$429-Tabell2[[#This Row],[ReisetidOslo-T]])*100/M$432</f>
        <v>42.644371068229788</v>
      </c>
      <c r="W91" s="10">
        <f>100-(N$429-Tabell2[[#This Row],[Beftettotal-T]])*100/N$432</f>
        <v>0</v>
      </c>
      <c r="X91" s="10">
        <f>100-(O$429-Tabell2[[#This Row],[Befvekst10-T]])*100/O$432</f>
        <v>24.842458460146759</v>
      </c>
      <c r="Y91" s="10">
        <f>100-(P$429-Tabell2[[#This Row],[Kvinneandel-T]])*100/P$432</f>
        <v>55.429185397222454</v>
      </c>
      <c r="Z91" s="10">
        <f>(Q$429-Tabell2[[#This Row],[Eldreandel-T]])*100/Q$432</f>
        <v>33.087565857705968</v>
      </c>
      <c r="AA91" s="10">
        <f>100-(R$429-Tabell2[[#This Row],[Sysselsettingsvekst10-T]])*100/R$432</f>
        <v>39.762713328063278</v>
      </c>
      <c r="AB91" s="10">
        <f>100-(S$429-Tabell2[[#This Row],[Yrkesaktivandel-T]])*100/S$432</f>
        <v>86.441171371209165</v>
      </c>
      <c r="AC91" s="10">
        <f>100-(T$429-Tabell2[[#This Row],[Inntekt-T]])*100/T$432</f>
        <v>0</v>
      </c>
      <c r="AD9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28.279154831525993</v>
      </c>
    </row>
    <row r="92" spans="1:30" x14ac:dyDescent="0.25">
      <c r="A92" s="2" t="s">
        <v>90</v>
      </c>
      <c r="B92" s="2">
        <v>90</v>
      </c>
      <c r="C92">
        <f>'Rådata-K'!N91</f>
        <v>2</v>
      </c>
      <c r="D92" s="30">
        <f>'Rådata-K'!M91</f>
        <v>30.21484375</v>
      </c>
      <c r="E92" s="32">
        <f>'Rådata-K'!O91</f>
        <v>494.70294522034879</v>
      </c>
      <c r="F92" s="32">
        <f>'Rådata-K'!P91</f>
        <v>0.16402179465349898</v>
      </c>
      <c r="G92" s="32">
        <f>'Rådata-K'!Q91</f>
        <v>0.13399060895513656</v>
      </c>
      <c r="H92" s="32">
        <f>'Rådata-K'!R91</f>
        <v>0.1519681699164753</v>
      </c>
      <c r="I92" s="32">
        <f>'Rådata-K'!S91</f>
        <v>7.1174271643030806E-2</v>
      </c>
      <c r="J92" s="32">
        <f>'Rådata-K'!T91</f>
        <v>0.80082241701960011</v>
      </c>
      <c r="K92" s="67">
        <f>'Rådata-K'!L91</f>
        <v>435800</v>
      </c>
      <c r="L92" s="18">
        <f>Tabell2[[#This Row],[NIBR11]]</f>
        <v>2</v>
      </c>
      <c r="M92" s="32">
        <f>IF(Tabell2[[#This Row],[ReisetidOslo]]&lt;=D$427,D$427,IF(Tabell2[[#This Row],[ReisetidOslo]]&gt;=D$428,D$428,Tabell2[[#This Row],[ReisetidOslo]]))</f>
        <v>54.622656249999999</v>
      </c>
      <c r="N92" s="32">
        <f>IF(Tabell2[[#This Row],[Beftettotal]]&lt;=E$427,E$427,IF(Tabell2[[#This Row],[Beftettotal]]&gt;=E$428,E$428,Tabell2[[#This Row],[Beftettotal]]))</f>
        <v>135.41854576488009</v>
      </c>
      <c r="O92" s="32">
        <f>IF(Tabell2[[#This Row],[Befvekst10]]&lt;=F$427,F$427,IF(Tabell2[[#This Row],[Befvekst10]]&gt;=F$428,F$428,Tabell2[[#This Row],[Befvekst10]]))</f>
        <v>0.16402179465349898</v>
      </c>
      <c r="P92" s="32">
        <f>IF(Tabell2[[#This Row],[Kvinneandel]]&lt;=G$427,G$427,IF(Tabell2[[#This Row],[Kvinneandel]]&gt;=G$428,G$428,Tabell2[[#This Row],[Kvinneandel]]))</f>
        <v>0.12777681011054584</v>
      </c>
      <c r="Q92" s="32">
        <f>IF(Tabell2[[#This Row],[Eldreandel]]&lt;=H$427,H$427,IF(Tabell2[[#This Row],[Eldreandel]]&gt;=H$428,H$428,Tabell2[[#This Row],[Eldreandel]]))</f>
        <v>0.1519681699164753</v>
      </c>
      <c r="R92" s="32">
        <f>IF(Tabell2[[#This Row],[Sysselsettingsvekst10]]&lt;=I$427,I$427,IF(Tabell2[[#This Row],[Sysselsettingsvekst10]]&gt;=I$428,I$428,Tabell2[[#This Row],[Sysselsettingsvekst10]]))</f>
        <v>7.1174271643030806E-2</v>
      </c>
      <c r="S92" s="32">
        <f>IF(Tabell2[[#This Row],[Yrkesaktivandel]]&lt;=J$427,J$427,IF(Tabell2[[#This Row],[Yrkesaktivandel]]&gt;=J$428,J$428,Tabell2[[#This Row],[Yrkesaktivandel]]))</f>
        <v>0.80082241701960011</v>
      </c>
      <c r="T92" s="67">
        <f>IF(Tabell2[[#This Row],[Inntekt]]&lt;=K$427,K$427,IF(Tabell2[[#This Row],[Inntekt]]&gt;=K$428,K$428,Tabell2[[#This Row],[Inntekt]]))</f>
        <v>435800</v>
      </c>
      <c r="U92" s="10">
        <f>IF(Tabell2[[#This Row],[NIBR11-T]]&lt;=L$430,100,IF(Tabell2[[#This Row],[NIBR11-T]]&gt;=L$429,0,100*(L$429-Tabell2[[#This Row],[NIBR11-T]])/L$432))</f>
        <v>90</v>
      </c>
      <c r="V92" s="10">
        <f>(M$429-Tabell2[[#This Row],[ReisetidOslo-T]])*100/M$432</f>
        <v>100</v>
      </c>
      <c r="W92" s="10">
        <f>100-(N$429-Tabell2[[#This Row],[Beftettotal-T]])*100/N$432</f>
        <v>100</v>
      </c>
      <c r="X92" s="10">
        <f>100-(O$429-Tabell2[[#This Row],[Befvekst10-T]])*100/O$432</f>
        <v>94.145128772158301</v>
      </c>
      <c r="Y92" s="10">
        <f>100-(P$429-Tabell2[[#This Row],[Kvinneandel-T]])*100/P$432</f>
        <v>100</v>
      </c>
      <c r="Z92" s="10">
        <f>(Q$429-Tabell2[[#This Row],[Eldreandel-T]])*100/Q$432</f>
        <v>76.650255992012234</v>
      </c>
      <c r="AA92" s="10">
        <f>100-(R$429-Tabell2[[#This Row],[Sysselsettingsvekst10-T]])*100/R$432</f>
        <v>62.263135225162564</v>
      </c>
      <c r="AB92" s="10">
        <f>100-(S$429-Tabell2[[#This Row],[Yrkesaktivandel-T]])*100/S$432</f>
        <v>2.9298394557373655</v>
      </c>
      <c r="AC92" s="10">
        <f>100-(T$429-Tabell2[[#This Row],[Inntekt-T]])*100/T$432</f>
        <v>85.160502054870591</v>
      </c>
      <c r="AD9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80.69688622760934</v>
      </c>
    </row>
    <row r="93" spans="1:30" x14ac:dyDescent="0.25">
      <c r="A93" s="2" t="s">
        <v>91</v>
      </c>
      <c r="B93" s="2">
        <v>91</v>
      </c>
      <c r="C93">
        <f>'Rådata-K'!N92</f>
        <v>5</v>
      </c>
      <c r="D93" s="30">
        <f>'Rådata-K'!M92</f>
        <v>58.890625</v>
      </c>
      <c r="E93" s="32">
        <f>'Rådata-K'!O92</f>
        <v>34.316407973874341</v>
      </c>
      <c r="F93" s="32">
        <f>'Rådata-K'!P92</f>
        <v>0.15107426831331416</v>
      </c>
      <c r="G93" s="32">
        <f>'Rådata-K'!Q92</f>
        <v>0.11989271017048794</v>
      </c>
      <c r="H93" s="32">
        <f>'Rådata-K'!R92</f>
        <v>0.15810552616108173</v>
      </c>
      <c r="I93" s="32">
        <f>'Rådata-K'!S92</f>
        <v>9.8024156950359487E-2</v>
      </c>
      <c r="J93" s="32">
        <f>'Rådata-K'!T92</f>
        <v>0.8379649959224641</v>
      </c>
      <c r="K93" s="67">
        <f>'Rådata-K'!L92</f>
        <v>467700</v>
      </c>
      <c r="L93" s="18">
        <f>Tabell2[[#This Row],[NIBR11]]</f>
        <v>5</v>
      </c>
      <c r="M93" s="32">
        <f>IF(Tabell2[[#This Row],[ReisetidOslo]]&lt;=D$427,D$427,IF(Tabell2[[#This Row],[ReisetidOslo]]&gt;=D$428,D$428,Tabell2[[#This Row],[ReisetidOslo]]))</f>
        <v>58.890625</v>
      </c>
      <c r="N93" s="32">
        <f>IF(Tabell2[[#This Row],[Beftettotal]]&lt;=E$427,E$427,IF(Tabell2[[#This Row],[Beftettotal]]&gt;=E$428,E$428,Tabell2[[#This Row],[Beftettotal]]))</f>
        <v>34.316407973874341</v>
      </c>
      <c r="O93" s="32">
        <f>IF(Tabell2[[#This Row],[Befvekst10]]&lt;=F$427,F$427,IF(Tabell2[[#This Row],[Befvekst10]]&gt;=F$428,F$428,Tabell2[[#This Row],[Befvekst10]]))</f>
        <v>0.15107426831331416</v>
      </c>
      <c r="P93" s="32">
        <f>IF(Tabell2[[#This Row],[Kvinneandel]]&lt;=G$427,G$427,IF(Tabell2[[#This Row],[Kvinneandel]]&gt;=G$428,G$428,Tabell2[[#This Row],[Kvinneandel]]))</f>
        <v>0.11989271017048794</v>
      </c>
      <c r="Q93" s="32">
        <f>IF(Tabell2[[#This Row],[Eldreandel]]&lt;=H$427,H$427,IF(Tabell2[[#This Row],[Eldreandel]]&gt;=H$428,H$428,Tabell2[[#This Row],[Eldreandel]]))</f>
        <v>0.15810552616108173</v>
      </c>
      <c r="R93" s="32">
        <f>IF(Tabell2[[#This Row],[Sysselsettingsvekst10]]&lt;=I$427,I$427,IF(Tabell2[[#This Row],[Sysselsettingsvekst10]]&gt;=I$428,I$428,Tabell2[[#This Row],[Sysselsettingsvekst10]]))</f>
        <v>9.8024156950359487E-2</v>
      </c>
      <c r="S93" s="32">
        <f>IF(Tabell2[[#This Row],[Yrkesaktivandel]]&lt;=J$427,J$427,IF(Tabell2[[#This Row],[Yrkesaktivandel]]&gt;=J$428,J$428,Tabell2[[#This Row],[Yrkesaktivandel]]))</f>
        <v>0.8379649959224641</v>
      </c>
      <c r="T93" s="67">
        <f>IF(Tabell2[[#This Row],[Inntekt]]&lt;=K$427,K$427,IF(Tabell2[[#This Row],[Inntekt]]&gt;=K$428,K$428,Tabell2[[#This Row],[Inntekt]]))</f>
        <v>449160</v>
      </c>
      <c r="U93" s="10">
        <f>IF(Tabell2[[#This Row],[NIBR11-T]]&lt;=L$430,100,IF(Tabell2[[#This Row],[NIBR11-T]]&gt;=L$429,0,100*(L$429-Tabell2[[#This Row],[NIBR11-T]])/L$432))</f>
        <v>60</v>
      </c>
      <c r="V93" s="10">
        <f>(M$429-Tabell2[[#This Row],[ReisetidOslo-T]])*100/M$432</f>
        <v>98.161218987610184</v>
      </c>
      <c r="W93" s="10">
        <f>100-(N$429-Tabell2[[#This Row],[Beftettotal-T]])*100/N$432</f>
        <v>24.647984115841709</v>
      </c>
      <c r="X93" s="10">
        <f>100-(O$429-Tabell2[[#This Row],[Befvekst10-T]])*100/O$432</f>
        <v>88.567660636280991</v>
      </c>
      <c r="Y93" s="10">
        <f>100-(P$429-Tabell2[[#This Row],[Kvinneandel-T]])*100/P$432</f>
        <v>79.175701655847362</v>
      </c>
      <c r="Z93" s="10">
        <f>(Q$429-Tabell2[[#This Row],[Eldreandel-T]])*100/Q$432</f>
        <v>70.030428242395885</v>
      </c>
      <c r="AA93" s="10">
        <f>100-(R$429-Tabell2[[#This Row],[Sysselsettingsvekst10-T]])*100/R$432</f>
        <v>71.656410151993555</v>
      </c>
      <c r="AB93" s="10">
        <f>100-(S$429-Tabell2[[#This Row],[Yrkesaktivandel-T]])*100/S$432</f>
        <v>31.739252719754163</v>
      </c>
      <c r="AC93" s="10">
        <f>100-(T$429-Tabell2[[#This Row],[Inntekt-T]])*100/T$432</f>
        <v>100</v>
      </c>
      <c r="AD9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69.794325219688318</v>
      </c>
    </row>
    <row r="94" spans="1:30" x14ac:dyDescent="0.25">
      <c r="A94" s="2" t="s">
        <v>92</v>
      </c>
      <c r="B94" s="2">
        <v>92</v>
      </c>
      <c r="C94">
        <f>'Rådata-K'!N93</f>
        <v>5</v>
      </c>
      <c r="D94" s="30">
        <f>'Rådata-K'!M93</f>
        <v>47.3203125</v>
      </c>
      <c r="E94" s="32">
        <f>'Rådata-K'!O93</f>
        <v>19.313475834040695</v>
      </c>
      <c r="F94" s="32">
        <f>'Rådata-K'!P93</f>
        <v>5.8094063766073623E-2</v>
      </c>
      <c r="G94" s="32">
        <f>'Rådata-K'!Q93</f>
        <v>0.11819937404275155</v>
      </c>
      <c r="H94" s="32">
        <f>'Rådata-K'!R93</f>
        <v>0.17133914896450689</v>
      </c>
      <c r="I94" s="32">
        <f>'Rådata-K'!S93</f>
        <v>2.3998254672388253E-3</v>
      </c>
      <c r="J94" s="32">
        <f>'Rådata-K'!T93</f>
        <v>0.82034473014975984</v>
      </c>
      <c r="K94" s="67">
        <f>'Rådata-K'!L93</f>
        <v>399000</v>
      </c>
      <c r="L94" s="18">
        <f>Tabell2[[#This Row],[NIBR11]]</f>
        <v>5</v>
      </c>
      <c r="M94" s="32">
        <f>IF(Tabell2[[#This Row],[ReisetidOslo]]&lt;=D$427,D$427,IF(Tabell2[[#This Row],[ReisetidOslo]]&gt;=D$428,D$428,Tabell2[[#This Row],[ReisetidOslo]]))</f>
        <v>54.622656249999999</v>
      </c>
      <c r="N94" s="32">
        <f>IF(Tabell2[[#This Row],[Beftettotal]]&lt;=E$427,E$427,IF(Tabell2[[#This Row],[Beftettotal]]&gt;=E$428,E$428,Tabell2[[#This Row],[Beftettotal]]))</f>
        <v>19.313475834040695</v>
      </c>
      <c r="O94" s="32">
        <f>IF(Tabell2[[#This Row],[Befvekst10]]&lt;=F$427,F$427,IF(Tabell2[[#This Row],[Befvekst10]]&gt;=F$428,F$428,Tabell2[[#This Row],[Befvekst10]]))</f>
        <v>5.8094063766073623E-2</v>
      </c>
      <c r="P94" s="32">
        <f>IF(Tabell2[[#This Row],[Kvinneandel]]&lt;=G$427,G$427,IF(Tabell2[[#This Row],[Kvinneandel]]&gt;=G$428,G$428,Tabell2[[#This Row],[Kvinneandel]]))</f>
        <v>0.11819937404275155</v>
      </c>
      <c r="Q94" s="32">
        <f>IF(Tabell2[[#This Row],[Eldreandel]]&lt;=H$427,H$427,IF(Tabell2[[#This Row],[Eldreandel]]&gt;=H$428,H$428,Tabell2[[#This Row],[Eldreandel]]))</f>
        <v>0.17133914896450689</v>
      </c>
      <c r="R94" s="32">
        <f>IF(Tabell2[[#This Row],[Sysselsettingsvekst10]]&lt;=I$427,I$427,IF(Tabell2[[#This Row],[Sysselsettingsvekst10]]&gt;=I$428,I$428,Tabell2[[#This Row],[Sysselsettingsvekst10]]))</f>
        <v>2.3998254672388253E-3</v>
      </c>
      <c r="S94" s="32">
        <f>IF(Tabell2[[#This Row],[Yrkesaktivandel]]&lt;=J$427,J$427,IF(Tabell2[[#This Row],[Yrkesaktivandel]]&gt;=J$428,J$428,Tabell2[[#This Row],[Yrkesaktivandel]]))</f>
        <v>0.82034473014975984</v>
      </c>
      <c r="T94" s="67">
        <f>IF(Tabell2[[#This Row],[Inntekt]]&lt;=K$427,K$427,IF(Tabell2[[#This Row],[Inntekt]]&gt;=K$428,K$428,Tabell2[[#This Row],[Inntekt]]))</f>
        <v>399000</v>
      </c>
      <c r="U94" s="10">
        <f>IF(Tabell2[[#This Row],[NIBR11-T]]&lt;=L$430,100,IF(Tabell2[[#This Row],[NIBR11-T]]&gt;=L$429,0,100*(L$429-Tabell2[[#This Row],[NIBR11-T]])/L$432))</f>
        <v>60</v>
      </c>
      <c r="V94" s="10">
        <f>(M$429-Tabell2[[#This Row],[ReisetidOslo-T]])*100/M$432</f>
        <v>100</v>
      </c>
      <c r="W94" s="10">
        <f>100-(N$429-Tabell2[[#This Row],[Beftettotal-T]])*100/N$432</f>
        <v>13.466210855551012</v>
      </c>
      <c r="X94" s="10">
        <f>100-(O$429-Tabell2[[#This Row],[Befvekst10-T]])*100/O$432</f>
        <v>48.514131143157286</v>
      </c>
      <c r="Y94" s="10">
        <f>100-(P$429-Tabell2[[#This Row],[Kvinneandel-T]])*100/P$432</f>
        <v>74.703087535147134</v>
      </c>
      <c r="Z94" s="10">
        <f>(Q$429-Tabell2[[#This Row],[Eldreandel-T]])*100/Q$432</f>
        <v>55.756480312608169</v>
      </c>
      <c r="AA94" s="10">
        <f>100-(R$429-Tabell2[[#This Row],[Sysselsettingsvekst10-T]])*100/R$432</f>
        <v>38.2027985244533</v>
      </c>
      <c r="AB94" s="10">
        <f>100-(S$429-Tabell2[[#This Row],[Yrkesaktivandel-T]])*100/S$432</f>
        <v>18.072201764697709</v>
      </c>
      <c r="AC94" s="10">
        <f>100-(T$429-Tabell2[[#This Row],[Inntekt-T]])*100/T$432</f>
        <v>44.28523825391536</v>
      </c>
      <c r="AD9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49.628449560880959</v>
      </c>
    </row>
    <row r="95" spans="1:30" x14ac:dyDescent="0.25">
      <c r="A95" s="2" t="s">
        <v>93</v>
      </c>
      <c r="B95" s="2">
        <v>93</v>
      </c>
      <c r="C95">
        <f>'Rådata-K'!N94</f>
        <v>5</v>
      </c>
      <c r="D95" s="30">
        <f>'Rådata-K'!M94</f>
        <v>36.9921875</v>
      </c>
      <c r="E95" s="32">
        <f>'Rådata-K'!O94</f>
        <v>35.144532669053923</v>
      </c>
      <c r="F95" s="32">
        <f>'Rådata-K'!P94</f>
        <v>0.24576894775570279</v>
      </c>
      <c r="G95" s="32">
        <f>'Rådata-K'!Q94</f>
        <v>0.11104548139397519</v>
      </c>
      <c r="H95" s="32">
        <f>'Rådata-K'!R94</f>
        <v>0.14559952746603663</v>
      </c>
      <c r="I95" s="32">
        <f>'Rådata-K'!S94</f>
        <v>0.22532894736842102</v>
      </c>
      <c r="J95" s="32">
        <f>'Rådata-K'!T94</f>
        <v>0.8644325971058644</v>
      </c>
      <c r="K95" s="67">
        <f>'Rådata-K'!L94</f>
        <v>480700</v>
      </c>
      <c r="L95" s="18">
        <f>Tabell2[[#This Row],[NIBR11]]</f>
        <v>5</v>
      </c>
      <c r="M95" s="32">
        <f>IF(Tabell2[[#This Row],[ReisetidOslo]]&lt;=D$427,D$427,IF(Tabell2[[#This Row],[ReisetidOslo]]&gt;=D$428,D$428,Tabell2[[#This Row],[ReisetidOslo]]))</f>
        <v>54.622656249999999</v>
      </c>
      <c r="N95" s="32">
        <f>IF(Tabell2[[#This Row],[Beftettotal]]&lt;=E$427,E$427,IF(Tabell2[[#This Row],[Beftettotal]]&gt;=E$428,E$428,Tabell2[[#This Row],[Beftettotal]]))</f>
        <v>35.144532669053923</v>
      </c>
      <c r="O95" s="32">
        <f>IF(Tabell2[[#This Row],[Befvekst10]]&lt;=F$427,F$427,IF(Tabell2[[#This Row],[Befvekst10]]&gt;=F$428,F$428,Tabell2[[#This Row],[Befvekst10]]))</f>
        <v>0.17761328412400704</v>
      </c>
      <c r="P95" s="32">
        <f>IF(Tabell2[[#This Row],[Kvinneandel]]&lt;=G$427,G$427,IF(Tabell2[[#This Row],[Kvinneandel]]&gt;=G$428,G$428,Tabell2[[#This Row],[Kvinneandel]]))</f>
        <v>0.11104548139397519</v>
      </c>
      <c r="Q95" s="32">
        <f>IF(Tabell2[[#This Row],[Eldreandel]]&lt;=H$427,H$427,IF(Tabell2[[#This Row],[Eldreandel]]&gt;=H$428,H$428,Tabell2[[#This Row],[Eldreandel]]))</f>
        <v>0.14559952746603663</v>
      </c>
      <c r="R95" s="32">
        <f>IF(Tabell2[[#This Row],[Sysselsettingsvekst10]]&lt;=I$427,I$427,IF(Tabell2[[#This Row],[Sysselsettingsvekst10]]&gt;=I$428,I$428,Tabell2[[#This Row],[Sysselsettingsvekst10]]))</f>
        <v>0.17904192152607218</v>
      </c>
      <c r="S95" s="32">
        <f>IF(Tabell2[[#This Row],[Yrkesaktivandel]]&lt;=J$427,J$427,IF(Tabell2[[#This Row],[Yrkesaktivandel]]&gt;=J$428,J$428,Tabell2[[#This Row],[Yrkesaktivandel]]))</f>
        <v>0.8644325971058644</v>
      </c>
      <c r="T95" s="67">
        <f>IF(Tabell2[[#This Row],[Inntekt]]&lt;=K$427,K$427,IF(Tabell2[[#This Row],[Inntekt]]&gt;=K$428,K$428,Tabell2[[#This Row],[Inntekt]]))</f>
        <v>449160</v>
      </c>
      <c r="U95" s="10">
        <f>IF(Tabell2[[#This Row],[NIBR11-T]]&lt;=L$430,100,IF(Tabell2[[#This Row],[NIBR11-T]]&gt;=L$429,0,100*(L$429-Tabell2[[#This Row],[NIBR11-T]])/L$432))</f>
        <v>60</v>
      </c>
      <c r="V95" s="10">
        <f>(M$429-Tabell2[[#This Row],[ReisetidOslo-T]])*100/M$432</f>
        <v>100</v>
      </c>
      <c r="W95" s="10">
        <f>100-(N$429-Tabell2[[#This Row],[Beftettotal-T]])*100/N$432</f>
        <v>25.265190305034537</v>
      </c>
      <c r="X95" s="10">
        <f>100-(O$429-Tabell2[[#This Row],[Befvekst10-T]])*100/O$432</f>
        <v>100</v>
      </c>
      <c r="Y95" s="10">
        <f>100-(P$429-Tabell2[[#This Row],[Kvinneandel-T]])*100/P$432</f>
        <v>55.807488040873686</v>
      </c>
      <c r="Z95" s="10">
        <f>(Q$429-Tabell2[[#This Row],[Eldreandel-T]])*100/Q$432</f>
        <v>83.519551881076623</v>
      </c>
      <c r="AA95" s="10">
        <f>100-(R$429-Tabell2[[#This Row],[Sysselsettingsvekst10-T]])*100/R$432</f>
        <v>100</v>
      </c>
      <c r="AB95" s="10">
        <f>100-(S$429-Tabell2[[#This Row],[Yrkesaktivandel-T]])*100/S$432</f>
        <v>52.268685061916131</v>
      </c>
      <c r="AC95" s="10">
        <f>100-(T$429-Tabell2[[#This Row],[Inntekt-T]])*100/T$432</f>
        <v>100</v>
      </c>
      <c r="AD9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76.719739532792573</v>
      </c>
    </row>
    <row r="96" spans="1:30" x14ac:dyDescent="0.25">
      <c r="A96" s="2" t="s">
        <v>94</v>
      </c>
      <c r="B96" s="2">
        <v>94</v>
      </c>
      <c r="C96">
        <f>'Rådata-K'!N95</f>
        <v>8</v>
      </c>
      <c r="D96" s="30">
        <f>'Rådata-K'!M95</f>
        <v>92.40625</v>
      </c>
      <c r="E96" s="32">
        <f>'Rådata-K'!O95</f>
        <v>1.5346176232591813</v>
      </c>
      <c r="F96" s="32">
        <f>'Rådata-K'!P95</f>
        <v>9.3023255813953432E-2</v>
      </c>
      <c r="G96" s="32">
        <f>'Rådata-K'!Q95</f>
        <v>0.10083256244218317</v>
      </c>
      <c r="H96" s="32">
        <f>'Rådata-K'!R95</f>
        <v>0.20906567992599445</v>
      </c>
      <c r="I96" s="32">
        <f>'Rådata-K'!S95</f>
        <v>0.16010498687664043</v>
      </c>
      <c r="J96" s="32">
        <f>'Rådata-K'!T95</f>
        <v>0.88519134775374375</v>
      </c>
      <c r="K96" s="67">
        <f>'Rådata-K'!L95</f>
        <v>382600</v>
      </c>
      <c r="L96" s="18">
        <f>Tabell2[[#This Row],[NIBR11]]</f>
        <v>8</v>
      </c>
      <c r="M96" s="32">
        <f>IF(Tabell2[[#This Row],[ReisetidOslo]]&lt;=D$427,D$427,IF(Tabell2[[#This Row],[ReisetidOslo]]&gt;=D$428,D$428,Tabell2[[#This Row],[ReisetidOslo]]))</f>
        <v>92.40625</v>
      </c>
      <c r="N96" s="32">
        <f>IF(Tabell2[[#This Row],[Beftettotal]]&lt;=E$427,E$427,IF(Tabell2[[#This Row],[Beftettotal]]&gt;=E$428,E$428,Tabell2[[#This Row],[Beftettotal]]))</f>
        <v>1.5346176232591813</v>
      </c>
      <c r="O96" s="32">
        <f>IF(Tabell2[[#This Row],[Befvekst10]]&lt;=F$427,F$427,IF(Tabell2[[#This Row],[Befvekst10]]&gt;=F$428,F$428,Tabell2[[#This Row],[Befvekst10]]))</f>
        <v>9.3023255813953432E-2</v>
      </c>
      <c r="P96" s="32">
        <f>IF(Tabell2[[#This Row],[Kvinneandel]]&lt;=G$427,G$427,IF(Tabell2[[#This Row],[Kvinneandel]]&gt;=G$428,G$428,Tabell2[[#This Row],[Kvinneandel]]))</f>
        <v>0.10083256244218317</v>
      </c>
      <c r="Q96" s="32">
        <f>IF(Tabell2[[#This Row],[Eldreandel]]&lt;=H$427,H$427,IF(Tabell2[[#This Row],[Eldreandel]]&gt;=H$428,H$428,Tabell2[[#This Row],[Eldreandel]]))</f>
        <v>0.20906567992599445</v>
      </c>
      <c r="R96" s="32">
        <f>IF(Tabell2[[#This Row],[Sysselsettingsvekst10]]&lt;=I$427,I$427,IF(Tabell2[[#This Row],[Sysselsettingsvekst10]]&gt;=I$428,I$428,Tabell2[[#This Row],[Sysselsettingsvekst10]]))</f>
        <v>0.16010498687664043</v>
      </c>
      <c r="S96" s="32">
        <f>IF(Tabell2[[#This Row],[Yrkesaktivandel]]&lt;=J$427,J$427,IF(Tabell2[[#This Row],[Yrkesaktivandel]]&gt;=J$428,J$428,Tabell2[[#This Row],[Yrkesaktivandel]]))</f>
        <v>0.88519134775374375</v>
      </c>
      <c r="T96" s="67">
        <f>IF(Tabell2[[#This Row],[Inntekt]]&lt;=K$427,K$427,IF(Tabell2[[#This Row],[Inntekt]]&gt;=K$428,K$428,Tabell2[[#This Row],[Inntekt]]))</f>
        <v>382600</v>
      </c>
      <c r="U96" s="10">
        <f>IF(Tabell2[[#This Row],[NIBR11-T]]&lt;=L$430,100,IF(Tabell2[[#This Row],[NIBR11-T]]&gt;=L$429,0,100*(L$429-Tabell2[[#This Row],[NIBR11-T]])/L$432))</f>
        <v>30</v>
      </c>
      <c r="V96" s="10">
        <f>(M$429-Tabell2[[#This Row],[ReisetidOslo-T]])*100/M$432</f>
        <v>83.721587753577097</v>
      </c>
      <c r="W96" s="10">
        <f>100-(N$429-Tabell2[[#This Row],[Beftettotal-T]])*100/N$432</f>
        <v>0.21552362408688452</v>
      </c>
      <c r="X96" s="10">
        <f>100-(O$429-Tabell2[[#This Row],[Befvekst10-T]])*100/O$432</f>
        <v>63.560747040306943</v>
      </c>
      <c r="Y96" s="10">
        <f>100-(P$429-Tabell2[[#This Row],[Kvinneandel-T]])*100/P$432</f>
        <v>28.832072605537917</v>
      </c>
      <c r="Z96" s="10">
        <f>(Q$429-Tabell2[[#This Row],[Eldreandel-T]])*100/Q$432</f>
        <v>15.06418112024944</v>
      </c>
      <c r="AA96" s="10">
        <f>100-(R$429-Tabell2[[#This Row],[Sysselsettingsvekst10-T]])*100/R$432</f>
        <v>93.37502445922955</v>
      </c>
      <c r="AB96" s="10">
        <f>100-(S$429-Tabell2[[#This Row],[Yrkesaktivandel-T]])*100/S$432</f>
        <v>68.37008253955112</v>
      </c>
      <c r="AC96" s="10">
        <f>100-(T$429-Tabell2[[#This Row],[Inntekt-T]])*100/T$432</f>
        <v>26.069088081750522</v>
      </c>
      <c r="AD9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48.082092740170275</v>
      </c>
    </row>
    <row r="97" spans="1:30" x14ac:dyDescent="0.25">
      <c r="A97" s="2" t="s">
        <v>95</v>
      </c>
      <c r="B97" s="2">
        <v>95</v>
      </c>
      <c r="C97">
        <f>'Rådata-K'!N96</f>
        <v>8</v>
      </c>
      <c r="D97" s="30">
        <f>'Rådata-K'!M96</f>
        <v>117.90625</v>
      </c>
      <c r="E97" s="32">
        <f>'Rådata-K'!O96</f>
        <v>4.1461336099892554</v>
      </c>
      <c r="F97" s="32">
        <f>'Rådata-K'!P96</f>
        <v>-2.864583333333337E-2</v>
      </c>
      <c r="G97" s="32">
        <f>'Rådata-K'!Q96</f>
        <v>9.6216860291927317E-2</v>
      </c>
      <c r="H97" s="32">
        <f>'Rådata-K'!R96</f>
        <v>0.20196604110813227</v>
      </c>
      <c r="I97" s="32">
        <f>'Rådata-K'!S96</f>
        <v>-9.4244149272612265E-2</v>
      </c>
      <c r="J97" s="32">
        <f>'Rådata-K'!T96</f>
        <v>0.91927774827403075</v>
      </c>
      <c r="K97" s="67">
        <f>'Rådata-K'!L96</f>
        <v>382200</v>
      </c>
      <c r="L97" s="18">
        <f>Tabell2[[#This Row],[NIBR11]]</f>
        <v>8</v>
      </c>
      <c r="M97" s="32">
        <f>IF(Tabell2[[#This Row],[ReisetidOslo]]&lt;=D$427,D$427,IF(Tabell2[[#This Row],[ReisetidOslo]]&gt;=D$428,D$428,Tabell2[[#This Row],[ReisetidOslo]]))</f>
        <v>117.90625</v>
      </c>
      <c r="N97" s="32">
        <f>IF(Tabell2[[#This Row],[Beftettotal]]&lt;=E$427,E$427,IF(Tabell2[[#This Row],[Beftettotal]]&gt;=E$428,E$428,Tabell2[[#This Row],[Beftettotal]]))</f>
        <v>4.1461336099892554</v>
      </c>
      <c r="O97" s="32">
        <f>IF(Tabell2[[#This Row],[Befvekst10]]&lt;=F$427,F$427,IF(Tabell2[[#This Row],[Befvekst10]]&gt;=F$428,F$428,Tabell2[[#This Row],[Befvekst10]]))</f>
        <v>-2.864583333333337E-2</v>
      </c>
      <c r="P97" s="32">
        <f>IF(Tabell2[[#This Row],[Kvinneandel]]&lt;=G$427,G$427,IF(Tabell2[[#This Row],[Kvinneandel]]&gt;=G$428,G$428,Tabell2[[#This Row],[Kvinneandel]]))</f>
        <v>9.6216860291927317E-2</v>
      </c>
      <c r="Q97" s="32">
        <f>IF(Tabell2[[#This Row],[Eldreandel]]&lt;=H$427,H$427,IF(Tabell2[[#This Row],[Eldreandel]]&gt;=H$428,H$428,Tabell2[[#This Row],[Eldreandel]]))</f>
        <v>0.20196604110813227</v>
      </c>
      <c r="R97" s="32">
        <f>IF(Tabell2[[#This Row],[Sysselsettingsvekst10]]&lt;=I$427,I$427,IF(Tabell2[[#This Row],[Sysselsettingsvekst10]]&gt;=I$428,I$428,Tabell2[[#This Row],[Sysselsettingsvekst10]]))</f>
        <v>-9.4244149272612265E-2</v>
      </c>
      <c r="S97" s="32">
        <f>IF(Tabell2[[#This Row],[Yrkesaktivandel]]&lt;=J$427,J$427,IF(Tabell2[[#This Row],[Yrkesaktivandel]]&gt;=J$428,J$428,Tabell2[[#This Row],[Yrkesaktivandel]]))</f>
        <v>0.91927774827403075</v>
      </c>
      <c r="T97" s="67">
        <f>IF(Tabell2[[#This Row],[Inntekt]]&lt;=K$427,K$427,IF(Tabell2[[#This Row],[Inntekt]]&gt;=K$428,K$428,Tabell2[[#This Row],[Inntekt]]))</f>
        <v>382200</v>
      </c>
      <c r="U97" s="10">
        <f>IF(Tabell2[[#This Row],[NIBR11-T]]&lt;=L$430,100,IF(Tabell2[[#This Row],[NIBR11-T]]&gt;=L$429,0,100*(L$429-Tabell2[[#This Row],[NIBR11-T]])/L$432))</f>
        <v>30</v>
      </c>
      <c r="V97" s="10">
        <f>(M$429-Tabell2[[#This Row],[ReisetidOslo-T]])*100/M$432</f>
        <v>72.735350842648415</v>
      </c>
      <c r="W97" s="10">
        <f>100-(N$429-Tabell2[[#This Row],[Beftettotal-T]])*100/N$432</f>
        <v>2.1619017958382898</v>
      </c>
      <c r="X97" s="10">
        <f>100-(O$429-Tabell2[[#This Row],[Befvekst10-T]])*100/O$432</f>
        <v>11.148768874713866</v>
      </c>
      <c r="Y97" s="10">
        <f>100-(P$429-Tabell2[[#This Row],[Kvinneandel-T]])*100/P$432</f>
        <v>16.64060377898106</v>
      </c>
      <c r="Z97" s="10">
        <f>(Q$429-Tabell2[[#This Row],[Eldreandel-T]])*100/Q$432</f>
        <v>22.721938660402042</v>
      </c>
      <c r="AA97" s="10">
        <f>100-(R$429-Tabell2[[#This Row],[Sysselsettingsvekst10-T]])*100/R$432</f>
        <v>4.3924706827419584</v>
      </c>
      <c r="AB97" s="10">
        <f>100-(S$429-Tabell2[[#This Row],[Yrkesaktivandel-T]])*100/S$432</f>
        <v>94.808989806596713</v>
      </c>
      <c r="AC97" s="10">
        <f>100-(T$429-Tabell2[[#This Row],[Inntekt-T]])*100/T$432</f>
        <v>25.624791736087971</v>
      </c>
      <c r="AD9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30.170231383303264</v>
      </c>
    </row>
    <row r="98" spans="1:30" x14ac:dyDescent="0.25">
      <c r="A98" s="2" t="s">
        <v>96</v>
      </c>
      <c r="B98" s="2">
        <v>96</v>
      </c>
      <c r="C98">
        <f>'Rådata-K'!N97</f>
        <v>8</v>
      </c>
      <c r="D98" s="30">
        <f>'Rådata-K'!M97</f>
        <v>134.5625</v>
      </c>
      <c r="E98" s="32">
        <f>'Rådata-K'!O97</f>
        <v>8.6611955154087408</v>
      </c>
      <c r="F98" s="32">
        <f>'Rådata-K'!P97</f>
        <v>3.9909808342728281E-2</v>
      </c>
      <c r="G98" s="32">
        <f>'Rådata-K'!Q97</f>
        <v>0.10624457935819601</v>
      </c>
      <c r="H98" s="32">
        <f>'Rådata-K'!R97</f>
        <v>0.19124024284475283</v>
      </c>
      <c r="I98" s="32">
        <f>'Rådata-K'!S97</f>
        <v>-2.3962200472494088E-2</v>
      </c>
      <c r="J98" s="32">
        <f>'Rådata-K'!T97</f>
        <v>0.9391236913532377</v>
      </c>
      <c r="K98" s="67">
        <f>'Rådata-K'!L97</f>
        <v>398600</v>
      </c>
      <c r="L98" s="18">
        <f>Tabell2[[#This Row],[NIBR11]]</f>
        <v>8</v>
      </c>
      <c r="M98" s="32">
        <f>IF(Tabell2[[#This Row],[ReisetidOslo]]&lt;=D$427,D$427,IF(Tabell2[[#This Row],[ReisetidOslo]]&gt;=D$428,D$428,Tabell2[[#This Row],[ReisetidOslo]]))</f>
        <v>134.5625</v>
      </c>
      <c r="N98" s="32">
        <f>IF(Tabell2[[#This Row],[Beftettotal]]&lt;=E$427,E$427,IF(Tabell2[[#This Row],[Beftettotal]]&gt;=E$428,E$428,Tabell2[[#This Row],[Beftettotal]]))</f>
        <v>8.6611955154087408</v>
      </c>
      <c r="O98" s="32">
        <f>IF(Tabell2[[#This Row],[Befvekst10]]&lt;=F$427,F$427,IF(Tabell2[[#This Row],[Befvekst10]]&gt;=F$428,F$428,Tabell2[[#This Row],[Befvekst10]]))</f>
        <v>3.9909808342728281E-2</v>
      </c>
      <c r="P98" s="32">
        <f>IF(Tabell2[[#This Row],[Kvinneandel]]&lt;=G$427,G$427,IF(Tabell2[[#This Row],[Kvinneandel]]&gt;=G$428,G$428,Tabell2[[#This Row],[Kvinneandel]]))</f>
        <v>0.10624457935819601</v>
      </c>
      <c r="Q98" s="32">
        <f>IF(Tabell2[[#This Row],[Eldreandel]]&lt;=H$427,H$427,IF(Tabell2[[#This Row],[Eldreandel]]&gt;=H$428,H$428,Tabell2[[#This Row],[Eldreandel]]))</f>
        <v>0.19124024284475283</v>
      </c>
      <c r="R98" s="32">
        <f>IF(Tabell2[[#This Row],[Sysselsettingsvekst10]]&lt;=I$427,I$427,IF(Tabell2[[#This Row],[Sysselsettingsvekst10]]&gt;=I$428,I$428,Tabell2[[#This Row],[Sysselsettingsvekst10]]))</f>
        <v>-2.3962200472494088E-2</v>
      </c>
      <c r="S98" s="32">
        <f>IF(Tabell2[[#This Row],[Yrkesaktivandel]]&lt;=J$427,J$427,IF(Tabell2[[#This Row],[Yrkesaktivandel]]&gt;=J$428,J$428,Tabell2[[#This Row],[Yrkesaktivandel]]))</f>
        <v>0.92597026588718434</v>
      </c>
      <c r="T98" s="67">
        <f>IF(Tabell2[[#This Row],[Inntekt]]&lt;=K$427,K$427,IF(Tabell2[[#This Row],[Inntekt]]&gt;=K$428,K$428,Tabell2[[#This Row],[Inntekt]]))</f>
        <v>398600</v>
      </c>
      <c r="U98" s="10">
        <f>IF(Tabell2[[#This Row],[NIBR11-T]]&lt;=L$430,100,IF(Tabell2[[#This Row],[NIBR11-T]]&gt;=L$429,0,100*(L$429-Tabell2[[#This Row],[NIBR11-T]])/L$432))</f>
        <v>30</v>
      </c>
      <c r="V98" s="10">
        <f>(M$429-Tabell2[[#This Row],[ReisetidOslo-T]])*100/M$432</f>
        <v>65.559291683916811</v>
      </c>
      <c r="W98" s="10">
        <f>100-(N$429-Tabell2[[#This Row],[Beftettotal-T]])*100/N$432</f>
        <v>5.5270038980155363</v>
      </c>
      <c r="X98" s="10">
        <f>100-(O$429-Tabell2[[#This Row],[Befvekst10-T]])*100/O$432</f>
        <v>40.680812057056471</v>
      </c>
      <c r="Y98" s="10">
        <f>100-(P$429-Tabell2[[#This Row],[Kvinneandel-T]])*100/P$432</f>
        <v>43.126850165374968</v>
      </c>
      <c r="Z98" s="10">
        <f>(Q$429-Tabell2[[#This Row],[Eldreandel-T]])*100/Q$432</f>
        <v>34.290916270770389</v>
      </c>
      <c r="AA98" s="10">
        <f>100-(R$429-Tabell2[[#This Row],[Sysselsettingsvekst10-T]])*100/R$432</f>
        <v>28.980198336564527</v>
      </c>
      <c r="AB98" s="10">
        <f>100-(S$429-Tabell2[[#This Row],[Yrkesaktivandel-T]])*100/S$432</f>
        <v>100</v>
      </c>
      <c r="AC98" s="10">
        <f>100-(T$429-Tabell2[[#This Row],[Inntekt-T]])*100/T$432</f>
        <v>43.840941908252802</v>
      </c>
      <c r="AD9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42.397794315893535</v>
      </c>
    </row>
    <row r="99" spans="1:30" x14ac:dyDescent="0.25">
      <c r="A99" s="2" t="s">
        <v>97</v>
      </c>
      <c r="B99" s="2">
        <v>97</v>
      </c>
      <c r="C99">
        <f>'Rådata-K'!N98</f>
        <v>8</v>
      </c>
      <c r="D99" s="30">
        <f>'Rådata-K'!M98</f>
        <v>159.625</v>
      </c>
      <c r="E99" s="32">
        <f>'Rådata-K'!O98</f>
        <v>3.240703877697269</v>
      </c>
      <c r="F99" s="32">
        <f>'Rådata-K'!P98</f>
        <v>0.24401426388181346</v>
      </c>
      <c r="G99" s="32">
        <f>'Rådata-K'!Q98</f>
        <v>0.12735462735462735</v>
      </c>
      <c r="H99" s="32">
        <f>'Rådata-K'!R98</f>
        <v>0.13308763308763308</v>
      </c>
      <c r="I99" s="32">
        <f>'Rådata-K'!S98</f>
        <v>9.3294460641399457E-2</v>
      </c>
      <c r="J99" s="32">
        <f>'Rådata-K'!T98</f>
        <v>0.88132164531355361</v>
      </c>
      <c r="K99" s="67">
        <f>'Rådata-K'!L98</f>
        <v>395500</v>
      </c>
      <c r="L99" s="18">
        <f>Tabell2[[#This Row],[NIBR11]]</f>
        <v>8</v>
      </c>
      <c r="M99" s="32">
        <f>IF(Tabell2[[#This Row],[ReisetidOslo]]&lt;=D$427,D$427,IF(Tabell2[[#This Row],[ReisetidOslo]]&gt;=D$428,D$428,Tabell2[[#This Row],[ReisetidOslo]]))</f>
        <v>159.625</v>
      </c>
      <c r="N99" s="32">
        <f>IF(Tabell2[[#This Row],[Beftettotal]]&lt;=E$427,E$427,IF(Tabell2[[#This Row],[Beftettotal]]&gt;=E$428,E$428,Tabell2[[#This Row],[Beftettotal]]))</f>
        <v>3.240703877697269</v>
      </c>
      <c r="O99" s="32">
        <f>IF(Tabell2[[#This Row],[Befvekst10]]&lt;=F$427,F$427,IF(Tabell2[[#This Row],[Befvekst10]]&gt;=F$428,F$428,Tabell2[[#This Row],[Befvekst10]]))</f>
        <v>0.17761328412400704</v>
      </c>
      <c r="P99" s="32">
        <f>IF(Tabell2[[#This Row],[Kvinneandel]]&lt;=G$427,G$427,IF(Tabell2[[#This Row],[Kvinneandel]]&gt;=G$428,G$428,Tabell2[[#This Row],[Kvinneandel]]))</f>
        <v>0.12735462735462735</v>
      </c>
      <c r="Q99" s="32">
        <f>IF(Tabell2[[#This Row],[Eldreandel]]&lt;=H$427,H$427,IF(Tabell2[[#This Row],[Eldreandel]]&gt;=H$428,H$428,Tabell2[[#This Row],[Eldreandel]]))</f>
        <v>0.13308763308763308</v>
      </c>
      <c r="R99" s="32">
        <f>IF(Tabell2[[#This Row],[Sysselsettingsvekst10]]&lt;=I$427,I$427,IF(Tabell2[[#This Row],[Sysselsettingsvekst10]]&gt;=I$428,I$428,Tabell2[[#This Row],[Sysselsettingsvekst10]]))</f>
        <v>9.3294460641399457E-2</v>
      </c>
      <c r="S99" s="32">
        <f>IF(Tabell2[[#This Row],[Yrkesaktivandel]]&lt;=J$427,J$427,IF(Tabell2[[#This Row],[Yrkesaktivandel]]&gt;=J$428,J$428,Tabell2[[#This Row],[Yrkesaktivandel]]))</f>
        <v>0.88132164531355361</v>
      </c>
      <c r="T99" s="67">
        <f>IF(Tabell2[[#This Row],[Inntekt]]&lt;=K$427,K$427,IF(Tabell2[[#This Row],[Inntekt]]&gt;=K$428,K$428,Tabell2[[#This Row],[Inntekt]]))</f>
        <v>395500</v>
      </c>
      <c r="U99" s="10">
        <f>IF(Tabell2[[#This Row],[NIBR11-T]]&lt;=L$430,100,IF(Tabell2[[#This Row],[NIBR11-T]]&gt;=L$429,0,100*(L$429-Tabell2[[#This Row],[NIBR11-T]])/L$432))</f>
        <v>30</v>
      </c>
      <c r="V99" s="10">
        <f>(M$429-Tabell2[[#This Row],[ReisetidOslo-T]])*100/M$432</f>
        <v>54.761544131754071</v>
      </c>
      <c r="W99" s="10">
        <f>100-(N$429-Tabell2[[#This Row],[Beftettotal-T]])*100/N$432</f>
        <v>1.4870797093786621</v>
      </c>
      <c r="X99" s="10">
        <f>100-(O$429-Tabell2[[#This Row],[Befvekst10-T]])*100/O$432</f>
        <v>100</v>
      </c>
      <c r="Y99" s="10">
        <f>100-(P$429-Tabell2[[#This Row],[Kvinneandel-T]])*100/P$432</f>
        <v>98.884887338840784</v>
      </c>
      <c r="Z99" s="10">
        <f>(Q$429-Tabell2[[#This Row],[Eldreandel-T]])*100/Q$432</f>
        <v>97.015034676166692</v>
      </c>
      <c r="AA99" s="10">
        <f>100-(R$429-Tabell2[[#This Row],[Sysselsettingsvekst10-T]])*100/R$432</f>
        <v>70.001753633280131</v>
      </c>
      <c r="AB99" s="10">
        <f>100-(S$429-Tabell2[[#This Row],[Yrkesaktivandel-T]])*100/S$432</f>
        <v>65.368571602473565</v>
      </c>
      <c r="AC99" s="10">
        <f>100-(T$429-Tabell2[[#This Row],[Inntekt-T]])*100/T$432</f>
        <v>40.397645229367988</v>
      </c>
      <c r="AD9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58.996655531375822</v>
      </c>
    </row>
    <row r="100" spans="1:30" x14ac:dyDescent="0.25">
      <c r="A100" s="2" t="s">
        <v>98</v>
      </c>
      <c r="B100" s="2">
        <v>98</v>
      </c>
      <c r="C100">
        <f>'Rådata-K'!N99</f>
        <v>8</v>
      </c>
      <c r="D100" s="30">
        <f>'Rådata-K'!M99</f>
        <v>152.5625</v>
      </c>
      <c r="E100" s="32">
        <f>'Rådata-K'!O99</f>
        <v>4.0164436727606985</v>
      </c>
      <c r="F100" s="32">
        <f>'Rådata-K'!P99</f>
        <v>1.6587677725118377E-2</v>
      </c>
      <c r="G100" s="32">
        <f>'Rådata-K'!Q99</f>
        <v>9.2392456028819667E-2</v>
      </c>
      <c r="H100" s="32">
        <f>'Rådata-K'!R99</f>
        <v>0.1888111888111888</v>
      </c>
      <c r="I100" s="32">
        <f>'Rådata-K'!S99</f>
        <v>3.3812341504649179E-2</v>
      </c>
      <c r="J100" s="32">
        <f>'Rådata-K'!T99</f>
        <v>0.94836956521739135</v>
      </c>
      <c r="K100" s="67">
        <f>'Rådata-K'!L99</f>
        <v>410500</v>
      </c>
      <c r="L100" s="18">
        <f>Tabell2[[#This Row],[NIBR11]]</f>
        <v>8</v>
      </c>
      <c r="M100" s="32">
        <f>IF(Tabell2[[#This Row],[ReisetidOslo]]&lt;=D$427,D$427,IF(Tabell2[[#This Row],[ReisetidOslo]]&gt;=D$428,D$428,Tabell2[[#This Row],[ReisetidOslo]]))</f>
        <v>152.5625</v>
      </c>
      <c r="N100" s="32">
        <f>IF(Tabell2[[#This Row],[Beftettotal]]&lt;=E$427,E$427,IF(Tabell2[[#This Row],[Beftettotal]]&gt;=E$428,E$428,Tabell2[[#This Row],[Beftettotal]]))</f>
        <v>4.0164436727606985</v>
      </c>
      <c r="O100" s="32">
        <f>IF(Tabell2[[#This Row],[Befvekst10]]&lt;=F$427,F$427,IF(Tabell2[[#This Row],[Befvekst10]]&gt;=F$428,F$428,Tabell2[[#This Row],[Befvekst10]]))</f>
        <v>1.6587677725118377E-2</v>
      </c>
      <c r="P100" s="32">
        <f>IF(Tabell2[[#This Row],[Kvinneandel]]&lt;=G$427,G$427,IF(Tabell2[[#This Row],[Kvinneandel]]&gt;=G$428,G$428,Tabell2[[#This Row],[Kvinneandel]]))</f>
        <v>9.2392456028819667E-2</v>
      </c>
      <c r="Q100" s="32">
        <f>IF(Tabell2[[#This Row],[Eldreandel]]&lt;=H$427,H$427,IF(Tabell2[[#This Row],[Eldreandel]]&gt;=H$428,H$428,Tabell2[[#This Row],[Eldreandel]]))</f>
        <v>0.1888111888111888</v>
      </c>
      <c r="R100" s="32">
        <f>IF(Tabell2[[#This Row],[Sysselsettingsvekst10]]&lt;=I$427,I$427,IF(Tabell2[[#This Row],[Sysselsettingsvekst10]]&gt;=I$428,I$428,Tabell2[[#This Row],[Sysselsettingsvekst10]]))</f>
        <v>3.3812341504649179E-2</v>
      </c>
      <c r="S100" s="32">
        <f>IF(Tabell2[[#This Row],[Yrkesaktivandel]]&lt;=J$427,J$427,IF(Tabell2[[#This Row],[Yrkesaktivandel]]&gt;=J$428,J$428,Tabell2[[#This Row],[Yrkesaktivandel]]))</f>
        <v>0.92597026588718434</v>
      </c>
      <c r="T100" s="67">
        <f>IF(Tabell2[[#This Row],[Inntekt]]&lt;=K$427,K$427,IF(Tabell2[[#This Row],[Inntekt]]&gt;=K$428,K$428,Tabell2[[#This Row],[Inntekt]]))</f>
        <v>410500</v>
      </c>
      <c r="U100" s="10">
        <f>IF(Tabell2[[#This Row],[NIBR11-T]]&lt;=L$430,100,IF(Tabell2[[#This Row],[NIBR11-T]]&gt;=L$429,0,100*(L$429-Tabell2[[#This Row],[NIBR11-T]])/L$432))</f>
        <v>30</v>
      </c>
      <c r="V100" s="10">
        <f>(M$429-Tabell2[[#This Row],[ReisetidOslo-T]])*100/M$432</f>
        <v>57.804300923261273</v>
      </c>
      <c r="W100" s="10">
        <f>100-(N$429-Tabell2[[#This Row],[Beftettotal-T]])*100/N$432</f>
        <v>2.0652431254720653</v>
      </c>
      <c r="X100" s="10">
        <f>100-(O$429-Tabell2[[#This Row],[Befvekst10-T]])*100/O$432</f>
        <v>30.634225785455868</v>
      </c>
      <c r="Y100" s="10">
        <f>100-(P$429-Tabell2[[#This Row],[Kvinneandel-T]])*100/P$432</f>
        <v>6.5391925882170341</v>
      </c>
      <c r="Z100" s="10">
        <f>(Q$429-Tabell2[[#This Row],[Eldreandel-T]])*100/Q$432</f>
        <v>36.910923755399601</v>
      </c>
      <c r="AA100" s="10">
        <f>100-(R$429-Tabell2[[#This Row],[Sysselsettingsvekst10-T]])*100/R$432</f>
        <v>49.192283056901005</v>
      </c>
      <c r="AB100" s="10">
        <f>100-(S$429-Tabell2[[#This Row],[Yrkesaktivandel-T]])*100/S$432</f>
        <v>100</v>
      </c>
      <c r="AC100" s="10">
        <f>100-(T$429-Tabell2[[#This Row],[Inntekt-T]])*100/T$432</f>
        <v>57.058758191713871</v>
      </c>
      <c r="AD10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40.911409504006834</v>
      </c>
    </row>
    <row r="101" spans="1:30" x14ac:dyDescent="0.25">
      <c r="A101" s="2" t="s">
        <v>99</v>
      </c>
      <c r="B101" s="2">
        <v>99</v>
      </c>
      <c r="C101">
        <f>'Rådata-K'!N100</f>
        <v>8</v>
      </c>
      <c r="D101" s="30">
        <f>'Rådata-K'!M100</f>
        <v>167.25</v>
      </c>
      <c r="E101" s="32">
        <f>'Rådata-K'!O100</f>
        <v>2.4452448480012077</v>
      </c>
      <c r="F101" s="32">
        <f>'Rådata-K'!P100</f>
        <v>1.3407821229050265E-2</v>
      </c>
      <c r="G101" s="32">
        <f>'Rådata-K'!Q100</f>
        <v>0.11995589856670341</v>
      </c>
      <c r="H101" s="32">
        <f>'Rådata-K'!R100</f>
        <v>0.19073869900771775</v>
      </c>
      <c r="I101" s="32">
        <f>'Rådata-K'!S100</f>
        <v>-1.3735046521931804E-2</v>
      </c>
      <c r="J101" s="32">
        <f>'Rådata-K'!T100</f>
        <v>0.92598187311178248</v>
      </c>
      <c r="K101" s="67">
        <f>'Rådata-K'!L100</f>
        <v>419300</v>
      </c>
      <c r="L101" s="18">
        <f>Tabell2[[#This Row],[NIBR11]]</f>
        <v>8</v>
      </c>
      <c r="M101" s="32">
        <f>IF(Tabell2[[#This Row],[ReisetidOslo]]&lt;=D$427,D$427,IF(Tabell2[[#This Row],[ReisetidOslo]]&gt;=D$428,D$428,Tabell2[[#This Row],[ReisetidOslo]]))</f>
        <v>167.25</v>
      </c>
      <c r="N101" s="32">
        <f>IF(Tabell2[[#This Row],[Beftettotal]]&lt;=E$427,E$427,IF(Tabell2[[#This Row],[Beftettotal]]&gt;=E$428,E$428,Tabell2[[#This Row],[Beftettotal]]))</f>
        <v>2.4452448480012077</v>
      </c>
      <c r="O101" s="32">
        <f>IF(Tabell2[[#This Row],[Befvekst10]]&lt;=F$427,F$427,IF(Tabell2[[#This Row],[Befvekst10]]&gt;=F$428,F$428,Tabell2[[#This Row],[Befvekst10]]))</f>
        <v>1.3407821229050265E-2</v>
      </c>
      <c r="P101" s="32">
        <f>IF(Tabell2[[#This Row],[Kvinneandel]]&lt;=G$427,G$427,IF(Tabell2[[#This Row],[Kvinneandel]]&gt;=G$428,G$428,Tabell2[[#This Row],[Kvinneandel]]))</f>
        <v>0.11995589856670341</v>
      </c>
      <c r="Q101" s="32">
        <f>IF(Tabell2[[#This Row],[Eldreandel]]&lt;=H$427,H$427,IF(Tabell2[[#This Row],[Eldreandel]]&gt;=H$428,H$428,Tabell2[[#This Row],[Eldreandel]]))</f>
        <v>0.19073869900771775</v>
      </c>
      <c r="R101" s="32">
        <f>IF(Tabell2[[#This Row],[Sysselsettingsvekst10]]&lt;=I$427,I$427,IF(Tabell2[[#This Row],[Sysselsettingsvekst10]]&gt;=I$428,I$428,Tabell2[[#This Row],[Sysselsettingsvekst10]]))</f>
        <v>-1.3735046521931804E-2</v>
      </c>
      <c r="S101" s="32">
        <f>IF(Tabell2[[#This Row],[Yrkesaktivandel]]&lt;=J$427,J$427,IF(Tabell2[[#This Row],[Yrkesaktivandel]]&gt;=J$428,J$428,Tabell2[[#This Row],[Yrkesaktivandel]]))</f>
        <v>0.92597026588718434</v>
      </c>
      <c r="T101" s="67">
        <f>IF(Tabell2[[#This Row],[Inntekt]]&lt;=K$427,K$427,IF(Tabell2[[#This Row],[Inntekt]]&gt;=K$428,K$428,Tabell2[[#This Row],[Inntekt]]))</f>
        <v>419300</v>
      </c>
      <c r="U101" s="10">
        <f>IF(Tabell2[[#This Row],[NIBR11-T]]&lt;=L$430,100,IF(Tabell2[[#This Row],[NIBR11-T]]&gt;=L$429,0,100*(L$429-Tabell2[[#This Row],[NIBR11-T]])/L$432))</f>
        <v>30</v>
      </c>
      <c r="V101" s="10">
        <f>(M$429-Tabell2[[#This Row],[ReisetidOslo-T]])*100/M$432</f>
        <v>51.476443878976376</v>
      </c>
      <c r="W101" s="10">
        <f>100-(N$429-Tabell2[[#This Row],[Beftettotal-T]])*100/N$432</f>
        <v>0.89421943213351085</v>
      </c>
      <c r="X101" s="10">
        <f>100-(O$429-Tabell2[[#This Row],[Befvekst10-T]])*100/O$432</f>
        <v>29.264423723077584</v>
      </c>
      <c r="Y101" s="10">
        <f>100-(P$429-Tabell2[[#This Row],[Kvinneandel-T]])*100/P$432</f>
        <v>79.342601368520178</v>
      </c>
      <c r="Z101" s="10">
        <f>(Q$429-Tabell2[[#This Row],[Eldreandel-T]])*100/Q$432</f>
        <v>34.83188760724309</v>
      </c>
      <c r="AA101" s="10">
        <f>100-(R$429-Tabell2[[#This Row],[Sysselsettingsvekst10-T]])*100/R$432</f>
        <v>32.558108174057793</v>
      </c>
      <c r="AB101" s="10">
        <f>100-(S$429-Tabell2[[#This Row],[Yrkesaktivandel-T]])*100/S$432</f>
        <v>100</v>
      </c>
      <c r="AC101" s="10">
        <f>100-(T$429-Tabell2[[#This Row],[Inntekt-T]])*100/T$432</f>
        <v>66.833277796290133</v>
      </c>
      <c r="AD10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42.737814121549462</v>
      </c>
    </row>
    <row r="102" spans="1:30" x14ac:dyDescent="0.25">
      <c r="A102" s="2" t="s">
        <v>100</v>
      </c>
      <c r="B102" s="2">
        <v>100</v>
      </c>
      <c r="C102">
        <f>'Rådata-K'!N101</f>
        <v>2</v>
      </c>
      <c r="D102" s="30">
        <f>'Rådata-K'!M101</f>
        <v>80.65625</v>
      </c>
      <c r="E102" s="32">
        <f>'Rådata-K'!O101</f>
        <v>4.1577622643301515</v>
      </c>
      <c r="F102" s="32">
        <f>'Rådata-K'!P101</f>
        <v>1.7162471395881784E-3</v>
      </c>
      <c r="G102" s="32">
        <f>'Rådata-K'!Q101</f>
        <v>9.3660765276984581E-2</v>
      </c>
      <c r="H102" s="32">
        <f>'Rådata-K'!R101</f>
        <v>0.19046259280411193</v>
      </c>
      <c r="I102" s="32">
        <f>'Rådata-K'!S101</f>
        <v>4.6204620462046986E-3</v>
      </c>
      <c r="J102" s="32">
        <f>'Rådata-K'!T101</f>
        <v>0.95289855072463769</v>
      </c>
      <c r="K102" s="67">
        <f>'Rådata-K'!L101</f>
        <v>442600</v>
      </c>
      <c r="L102" s="18">
        <f>Tabell2[[#This Row],[NIBR11]]</f>
        <v>2</v>
      </c>
      <c r="M102" s="32">
        <f>IF(Tabell2[[#This Row],[ReisetidOslo]]&lt;=D$427,D$427,IF(Tabell2[[#This Row],[ReisetidOslo]]&gt;=D$428,D$428,Tabell2[[#This Row],[ReisetidOslo]]))</f>
        <v>80.65625</v>
      </c>
      <c r="N102" s="32">
        <f>IF(Tabell2[[#This Row],[Beftettotal]]&lt;=E$427,E$427,IF(Tabell2[[#This Row],[Beftettotal]]&gt;=E$428,E$428,Tabell2[[#This Row],[Beftettotal]]))</f>
        <v>4.1577622643301515</v>
      </c>
      <c r="O102" s="32">
        <f>IF(Tabell2[[#This Row],[Befvekst10]]&lt;=F$427,F$427,IF(Tabell2[[#This Row],[Befvekst10]]&gt;=F$428,F$428,Tabell2[[#This Row],[Befvekst10]]))</f>
        <v>1.7162471395881784E-3</v>
      </c>
      <c r="P102" s="32">
        <f>IF(Tabell2[[#This Row],[Kvinneandel]]&lt;=G$427,G$427,IF(Tabell2[[#This Row],[Kvinneandel]]&gt;=G$428,G$428,Tabell2[[#This Row],[Kvinneandel]]))</f>
        <v>9.3660765276984581E-2</v>
      </c>
      <c r="Q102" s="32">
        <f>IF(Tabell2[[#This Row],[Eldreandel]]&lt;=H$427,H$427,IF(Tabell2[[#This Row],[Eldreandel]]&gt;=H$428,H$428,Tabell2[[#This Row],[Eldreandel]]))</f>
        <v>0.19046259280411193</v>
      </c>
      <c r="R102" s="32">
        <f>IF(Tabell2[[#This Row],[Sysselsettingsvekst10]]&lt;=I$427,I$427,IF(Tabell2[[#This Row],[Sysselsettingsvekst10]]&gt;=I$428,I$428,Tabell2[[#This Row],[Sysselsettingsvekst10]]))</f>
        <v>4.6204620462046986E-3</v>
      </c>
      <c r="S102" s="32">
        <f>IF(Tabell2[[#This Row],[Yrkesaktivandel]]&lt;=J$427,J$427,IF(Tabell2[[#This Row],[Yrkesaktivandel]]&gt;=J$428,J$428,Tabell2[[#This Row],[Yrkesaktivandel]]))</f>
        <v>0.92597026588718434</v>
      </c>
      <c r="T102" s="67">
        <f>IF(Tabell2[[#This Row],[Inntekt]]&lt;=K$427,K$427,IF(Tabell2[[#This Row],[Inntekt]]&gt;=K$428,K$428,Tabell2[[#This Row],[Inntekt]]))</f>
        <v>442600</v>
      </c>
      <c r="U102" s="10">
        <f>IF(Tabell2[[#This Row],[NIBR11-T]]&lt;=L$430,100,IF(Tabell2[[#This Row],[NIBR11-T]]&gt;=L$429,0,100*(L$429-Tabell2[[#This Row],[NIBR11-T]])/L$432))</f>
        <v>90</v>
      </c>
      <c r="V102" s="10">
        <f>(M$429-Tabell2[[#This Row],[ReisetidOslo-T]])*100/M$432</f>
        <v>88.783873389005009</v>
      </c>
      <c r="W102" s="10">
        <f>100-(N$429-Tabell2[[#This Row],[Beftettotal-T]])*100/N$432</f>
        <v>2.170568700077439</v>
      </c>
      <c r="X102" s="10">
        <f>100-(O$429-Tabell2[[#This Row],[Befvekst10-T]])*100/O$432</f>
        <v>24.227988173235502</v>
      </c>
      <c r="Y102" s="10">
        <f>100-(P$429-Tabell2[[#This Row],[Kvinneandel-T]])*100/P$432</f>
        <v>9.8891818548726462</v>
      </c>
      <c r="Z102" s="10">
        <f>(Q$429-Tabell2[[#This Row],[Eldreandel-T]])*100/Q$432</f>
        <v>35.129699146222492</v>
      </c>
      <c r="AA102" s="10">
        <f>100-(R$429-Tabell2[[#This Row],[Sysselsettingsvekst10-T]])*100/R$432</f>
        <v>38.979675209774207</v>
      </c>
      <c r="AB102" s="10">
        <f>100-(S$429-Tabell2[[#This Row],[Yrkesaktivandel-T]])*100/S$432</f>
        <v>100</v>
      </c>
      <c r="AC102" s="10">
        <f>100-(T$429-Tabell2[[#This Row],[Inntekt-T]])*100/T$432</f>
        <v>92.713539931134065</v>
      </c>
      <c r="AD10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57.361307407700934</v>
      </c>
    </row>
    <row r="103" spans="1:30" x14ac:dyDescent="0.25">
      <c r="A103" s="2" t="s">
        <v>101</v>
      </c>
      <c r="B103" s="2">
        <v>101</v>
      </c>
      <c r="C103">
        <f>'Rådata-K'!N102</f>
        <v>5</v>
      </c>
      <c r="D103" s="30">
        <f>'Rådata-K'!M102</f>
        <v>79.796875</v>
      </c>
      <c r="E103" s="32">
        <f>'Rådata-K'!O102</f>
        <v>6.0265413473605509</v>
      </c>
      <c r="F103" s="32">
        <f>'Rådata-K'!P102</f>
        <v>6.4622641509433976E-2</v>
      </c>
      <c r="G103" s="32">
        <f>'Rådata-K'!Q102</f>
        <v>0.11032343819229065</v>
      </c>
      <c r="H103" s="32">
        <f>'Rådata-K'!R102</f>
        <v>0.17766947275143996</v>
      </c>
      <c r="I103" s="32">
        <f>'Rådata-K'!S102</f>
        <v>0.15177610333692138</v>
      </c>
      <c r="J103" s="32">
        <f>'Rådata-K'!T102</f>
        <v>0.88311688311688308</v>
      </c>
      <c r="K103" s="67">
        <f>'Rådata-K'!L102</f>
        <v>425800</v>
      </c>
      <c r="L103" s="18">
        <f>Tabell2[[#This Row],[NIBR11]]</f>
        <v>5</v>
      </c>
      <c r="M103" s="32">
        <f>IF(Tabell2[[#This Row],[ReisetidOslo]]&lt;=D$427,D$427,IF(Tabell2[[#This Row],[ReisetidOslo]]&gt;=D$428,D$428,Tabell2[[#This Row],[ReisetidOslo]]))</f>
        <v>79.796875</v>
      </c>
      <c r="N103" s="32">
        <f>IF(Tabell2[[#This Row],[Beftettotal]]&lt;=E$427,E$427,IF(Tabell2[[#This Row],[Beftettotal]]&gt;=E$428,E$428,Tabell2[[#This Row],[Beftettotal]]))</f>
        <v>6.0265413473605509</v>
      </c>
      <c r="O103" s="32">
        <f>IF(Tabell2[[#This Row],[Befvekst10]]&lt;=F$427,F$427,IF(Tabell2[[#This Row],[Befvekst10]]&gt;=F$428,F$428,Tabell2[[#This Row],[Befvekst10]]))</f>
        <v>6.4622641509433976E-2</v>
      </c>
      <c r="P103" s="32">
        <f>IF(Tabell2[[#This Row],[Kvinneandel]]&lt;=G$427,G$427,IF(Tabell2[[#This Row],[Kvinneandel]]&gt;=G$428,G$428,Tabell2[[#This Row],[Kvinneandel]]))</f>
        <v>0.11032343819229065</v>
      </c>
      <c r="Q103" s="32">
        <f>IF(Tabell2[[#This Row],[Eldreandel]]&lt;=H$427,H$427,IF(Tabell2[[#This Row],[Eldreandel]]&gt;=H$428,H$428,Tabell2[[#This Row],[Eldreandel]]))</f>
        <v>0.17766947275143996</v>
      </c>
      <c r="R103" s="32">
        <f>IF(Tabell2[[#This Row],[Sysselsettingsvekst10]]&lt;=I$427,I$427,IF(Tabell2[[#This Row],[Sysselsettingsvekst10]]&gt;=I$428,I$428,Tabell2[[#This Row],[Sysselsettingsvekst10]]))</f>
        <v>0.15177610333692138</v>
      </c>
      <c r="S103" s="32">
        <f>IF(Tabell2[[#This Row],[Yrkesaktivandel]]&lt;=J$427,J$427,IF(Tabell2[[#This Row],[Yrkesaktivandel]]&gt;=J$428,J$428,Tabell2[[#This Row],[Yrkesaktivandel]]))</f>
        <v>0.88311688311688308</v>
      </c>
      <c r="T103" s="67">
        <f>IF(Tabell2[[#This Row],[Inntekt]]&lt;=K$427,K$427,IF(Tabell2[[#This Row],[Inntekt]]&gt;=K$428,K$428,Tabell2[[#This Row],[Inntekt]]))</f>
        <v>425800</v>
      </c>
      <c r="U103" s="10">
        <f>IF(Tabell2[[#This Row],[NIBR11-T]]&lt;=L$430,100,IF(Tabell2[[#This Row],[NIBR11-T]]&gt;=L$429,0,100*(L$429-Tabell2[[#This Row],[NIBR11-T]])/L$432))</f>
        <v>60</v>
      </c>
      <c r="V103" s="10">
        <f>(M$429-Tabell2[[#This Row],[ReisetidOslo-T]])*100/M$432</f>
        <v>89.154120343723804</v>
      </c>
      <c r="W103" s="10">
        <f>100-(N$429-Tabell2[[#This Row],[Beftettotal-T]])*100/N$432</f>
        <v>3.5633807041082548</v>
      </c>
      <c r="X103" s="10">
        <f>100-(O$429-Tabell2[[#This Row],[Befvekst10-T]])*100/O$432</f>
        <v>51.326477948212741</v>
      </c>
      <c r="Y103" s="10">
        <f>100-(P$429-Tabell2[[#This Row],[Kvinneandel-T]])*100/P$432</f>
        <v>53.900353026913486</v>
      </c>
      <c r="Z103" s="10">
        <f>(Q$429-Tabell2[[#This Row],[Eldreandel-T]])*100/Q$432</f>
        <v>48.928515404163555</v>
      </c>
      <c r="AA103" s="10">
        <f>100-(R$429-Tabell2[[#This Row],[Sysselsettingsvekst10-T]])*100/R$432</f>
        <v>90.461213393497218</v>
      </c>
      <c r="AB103" s="10">
        <f>100-(S$429-Tabell2[[#This Row],[Yrkesaktivandel-T]])*100/S$432</f>
        <v>66.761036781549123</v>
      </c>
      <c r="AC103" s="10">
        <f>100-(T$429-Tabell2[[#This Row],[Inntekt-T]])*100/T$432</f>
        <v>74.053093413306669</v>
      </c>
      <c r="AD10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59.806023474814907</v>
      </c>
    </row>
    <row r="104" spans="1:30" x14ac:dyDescent="0.25">
      <c r="A104" s="2" t="s">
        <v>102</v>
      </c>
      <c r="B104" s="2">
        <v>102</v>
      </c>
      <c r="C104">
        <f>'Rådata-K'!N103</f>
        <v>2</v>
      </c>
      <c r="D104" s="30">
        <f>'Rådata-K'!M103</f>
        <v>64.703125</v>
      </c>
      <c r="E104" s="32">
        <f>'Rådata-K'!O103</f>
        <v>26.656096523454121</v>
      </c>
      <c r="F104" s="32">
        <f>'Rådata-K'!P103</f>
        <v>9.5083008976090344E-2</v>
      </c>
      <c r="G104" s="32">
        <f>'Rådata-K'!Q103</f>
        <v>0.11156245466415204</v>
      </c>
      <c r="H104" s="32">
        <f>'Rådata-K'!R103</f>
        <v>0.16901204120121863</v>
      </c>
      <c r="I104" s="32">
        <f>'Rådata-K'!S103</f>
        <v>2.4712643678160839E-2</v>
      </c>
      <c r="J104" s="32">
        <f>'Rådata-K'!T103</f>
        <v>0.82804465069609934</v>
      </c>
      <c r="K104" s="67">
        <f>'Rådata-K'!L103</f>
        <v>396600</v>
      </c>
      <c r="L104" s="18">
        <f>Tabell2[[#This Row],[NIBR11]]</f>
        <v>2</v>
      </c>
      <c r="M104" s="32">
        <f>IF(Tabell2[[#This Row],[ReisetidOslo]]&lt;=D$427,D$427,IF(Tabell2[[#This Row],[ReisetidOslo]]&gt;=D$428,D$428,Tabell2[[#This Row],[ReisetidOslo]]))</f>
        <v>64.703125</v>
      </c>
      <c r="N104" s="32">
        <f>IF(Tabell2[[#This Row],[Beftettotal]]&lt;=E$427,E$427,IF(Tabell2[[#This Row],[Beftettotal]]&gt;=E$428,E$428,Tabell2[[#This Row],[Beftettotal]]))</f>
        <v>26.656096523454121</v>
      </c>
      <c r="O104" s="32">
        <f>IF(Tabell2[[#This Row],[Befvekst10]]&lt;=F$427,F$427,IF(Tabell2[[#This Row],[Befvekst10]]&gt;=F$428,F$428,Tabell2[[#This Row],[Befvekst10]]))</f>
        <v>9.5083008976090344E-2</v>
      </c>
      <c r="P104" s="32">
        <f>IF(Tabell2[[#This Row],[Kvinneandel]]&lt;=G$427,G$427,IF(Tabell2[[#This Row],[Kvinneandel]]&gt;=G$428,G$428,Tabell2[[#This Row],[Kvinneandel]]))</f>
        <v>0.11156245466415204</v>
      </c>
      <c r="Q104" s="32">
        <f>IF(Tabell2[[#This Row],[Eldreandel]]&lt;=H$427,H$427,IF(Tabell2[[#This Row],[Eldreandel]]&gt;=H$428,H$428,Tabell2[[#This Row],[Eldreandel]]))</f>
        <v>0.16901204120121863</v>
      </c>
      <c r="R104" s="32">
        <f>IF(Tabell2[[#This Row],[Sysselsettingsvekst10]]&lt;=I$427,I$427,IF(Tabell2[[#This Row],[Sysselsettingsvekst10]]&gt;=I$428,I$428,Tabell2[[#This Row],[Sysselsettingsvekst10]]))</f>
        <v>2.4712643678160839E-2</v>
      </c>
      <c r="S104" s="32">
        <f>IF(Tabell2[[#This Row],[Yrkesaktivandel]]&lt;=J$427,J$427,IF(Tabell2[[#This Row],[Yrkesaktivandel]]&gt;=J$428,J$428,Tabell2[[#This Row],[Yrkesaktivandel]]))</f>
        <v>0.82804465069609934</v>
      </c>
      <c r="T104" s="67">
        <f>IF(Tabell2[[#This Row],[Inntekt]]&lt;=K$427,K$427,IF(Tabell2[[#This Row],[Inntekt]]&gt;=K$428,K$428,Tabell2[[#This Row],[Inntekt]]))</f>
        <v>396600</v>
      </c>
      <c r="U104" s="10">
        <f>IF(Tabell2[[#This Row],[NIBR11-T]]&lt;=L$430,100,IF(Tabell2[[#This Row],[NIBR11-T]]&gt;=L$429,0,100*(L$429-Tabell2[[#This Row],[NIBR11-T]])/L$432))</f>
        <v>90</v>
      </c>
      <c r="V104" s="10">
        <f>(M$429-Tabell2[[#This Row],[ReisetidOslo-T]])*100/M$432</f>
        <v>95.6570032211485</v>
      </c>
      <c r="W104" s="10">
        <f>100-(N$429-Tabell2[[#This Row],[Beftettotal-T]])*100/N$432</f>
        <v>18.938709092569013</v>
      </c>
      <c r="X104" s="10">
        <f>100-(O$429-Tabell2[[#This Row],[Befvekst10-T]])*100/O$432</f>
        <v>64.448036807305556</v>
      </c>
      <c r="Y104" s="10">
        <f>100-(P$429-Tabell2[[#This Row],[Kvinneandel-T]])*100/P$432</f>
        <v>57.172971189992168</v>
      </c>
      <c r="Z104" s="10">
        <f>(Q$429-Tabell2[[#This Row],[Eldreandel-T]])*100/Q$432</f>
        <v>58.266527299256758</v>
      </c>
      <c r="AA104" s="10">
        <f>100-(R$429-Tabell2[[#This Row],[Sysselsettingsvekst10-T]])*100/R$432</f>
        <v>46.008807133003451</v>
      </c>
      <c r="AB104" s="10">
        <f>100-(S$429-Tabell2[[#This Row],[Yrkesaktivandel-T]])*100/S$432</f>
        <v>24.044597857594852</v>
      </c>
      <c r="AC104" s="10">
        <f>100-(T$429-Tabell2[[#This Row],[Inntekt-T]])*100/T$432</f>
        <v>41.61946017994002</v>
      </c>
      <c r="AD10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59.288440034349144</v>
      </c>
    </row>
    <row r="105" spans="1:30" x14ac:dyDescent="0.25">
      <c r="A105" s="2" t="s">
        <v>103</v>
      </c>
      <c r="B105" s="2">
        <v>103</v>
      </c>
      <c r="C105">
        <f>'Rådata-K'!N104</f>
        <v>2</v>
      </c>
      <c r="D105" s="30">
        <f>'Rådata-K'!M104</f>
        <v>44.6015625</v>
      </c>
      <c r="E105" s="32">
        <f>'Rådata-K'!O104</f>
        <v>40.644638595108276</v>
      </c>
      <c r="F105" s="32">
        <f>'Rådata-K'!P104</f>
        <v>0.16332414138881934</v>
      </c>
      <c r="G105" s="32">
        <f>'Rådata-K'!Q104</f>
        <v>0.12153862730309234</v>
      </c>
      <c r="H105" s="32">
        <f>'Rådata-K'!R104</f>
        <v>0.14788277125309773</v>
      </c>
      <c r="I105" s="32">
        <f>'Rådata-K'!S104</f>
        <v>0.17416144489495022</v>
      </c>
      <c r="J105" s="32">
        <f>'Rådata-K'!T104</f>
        <v>0.84146788990825683</v>
      </c>
      <c r="K105" s="67">
        <f>'Rådata-K'!L104</f>
        <v>420100</v>
      </c>
      <c r="L105" s="18">
        <f>Tabell2[[#This Row],[NIBR11]]</f>
        <v>2</v>
      </c>
      <c r="M105" s="32">
        <f>IF(Tabell2[[#This Row],[ReisetidOslo]]&lt;=D$427,D$427,IF(Tabell2[[#This Row],[ReisetidOslo]]&gt;=D$428,D$428,Tabell2[[#This Row],[ReisetidOslo]]))</f>
        <v>54.622656249999999</v>
      </c>
      <c r="N105" s="32">
        <f>IF(Tabell2[[#This Row],[Beftettotal]]&lt;=E$427,E$427,IF(Tabell2[[#This Row],[Beftettotal]]&gt;=E$428,E$428,Tabell2[[#This Row],[Beftettotal]]))</f>
        <v>40.644638595108276</v>
      </c>
      <c r="O105" s="32">
        <f>IF(Tabell2[[#This Row],[Befvekst10]]&lt;=F$427,F$427,IF(Tabell2[[#This Row],[Befvekst10]]&gt;=F$428,F$428,Tabell2[[#This Row],[Befvekst10]]))</f>
        <v>0.16332414138881934</v>
      </c>
      <c r="P105" s="32">
        <f>IF(Tabell2[[#This Row],[Kvinneandel]]&lt;=G$427,G$427,IF(Tabell2[[#This Row],[Kvinneandel]]&gt;=G$428,G$428,Tabell2[[#This Row],[Kvinneandel]]))</f>
        <v>0.12153862730309234</v>
      </c>
      <c r="Q105" s="32">
        <f>IF(Tabell2[[#This Row],[Eldreandel]]&lt;=H$427,H$427,IF(Tabell2[[#This Row],[Eldreandel]]&gt;=H$428,H$428,Tabell2[[#This Row],[Eldreandel]]))</f>
        <v>0.14788277125309773</v>
      </c>
      <c r="R105" s="32">
        <f>IF(Tabell2[[#This Row],[Sysselsettingsvekst10]]&lt;=I$427,I$427,IF(Tabell2[[#This Row],[Sysselsettingsvekst10]]&gt;=I$428,I$428,Tabell2[[#This Row],[Sysselsettingsvekst10]]))</f>
        <v>0.17416144489495022</v>
      </c>
      <c r="S105" s="32">
        <f>IF(Tabell2[[#This Row],[Yrkesaktivandel]]&lt;=J$427,J$427,IF(Tabell2[[#This Row],[Yrkesaktivandel]]&gt;=J$428,J$428,Tabell2[[#This Row],[Yrkesaktivandel]]))</f>
        <v>0.84146788990825683</v>
      </c>
      <c r="T105" s="67">
        <f>IF(Tabell2[[#This Row],[Inntekt]]&lt;=K$427,K$427,IF(Tabell2[[#This Row],[Inntekt]]&gt;=K$428,K$428,Tabell2[[#This Row],[Inntekt]]))</f>
        <v>420100</v>
      </c>
      <c r="U105" s="10">
        <f>IF(Tabell2[[#This Row],[NIBR11-T]]&lt;=L$430,100,IF(Tabell2[[#This Row],[NIBR11-T]]&gt;=L$429,0,100*(L$429-Tabell2[[#This Row],[NIBR11-T]])/L$432))</f>
        <v>90</v>
      </c>
      <c r="V105" s="10">
        <f>(M$429-Tabell2[[#This Row],[ReisetidOslo-T]])*100/M$432</f>
        <v>100</v>
      </c>
      <c r="W105" s="10">
        <f>100-(N$429-Tabell2[[#This Row],[Beftettotal-T]])*100/N$432</f>
        <v>29.364451489415458</v>
      </c>
      <c r="X105" s="10">
        <f>100-(O$429-Tabell2[[#This Row],[Befvekst10-T]])*100/O$432</f>
        <v>93.844597323030086</v>
      </c>
      <c r="Y105" s="10">
        <f>100-(P$429-Tabell2[[#This Row],[Kvinneandel-T]])*100/P$432</f>
        <v>83.523067833305348</v>
      </c>
      <c r="Z105" s="10">
        <f>(Q$429-Tabell2[[#This Row],[Eldreandel-T]])*100/Q$432</f>
        <v>81.05681711738923</v>
      </c>
      <c r="AA105" s="10">
        <f>100-(R$429-Tabell2[[#This Row],[Sysselsettingsvekst10-T]])*100/R$432</f>
        <v>98.292593869755208</v>
      </c>
      <c r="AB105" s="10">
        <f>100-(S$429-Tabell2[[#This Row],[Yrkesaktivandel-T]])*100/S$432</f>
        <v>34.456250931447002</v>
      </c>
      <c r="AC105" s="10">
        <f>100-(T$429-Tabell2[[#This Row],[Inntekt-T]])*100/T$432</f>
        <v>67.721870487615234</v>
      </c>
      <c r="AD10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77.981430389964032</v>
      </c>
    </row>
    <row r="106" spans="1:30" x14ac:dyDescent="0.25">
      <c r="A106" s="2" t="s">
        <v>104</v>
      </c>
      <c r="B106" s="2">
        <v>104</v>
      </c>
      <c r="C106">
        <f>'Rådata-K'!N105</f>
        <v>2</v>
      </c>
      <c r="D106" s="30">
        <f>'Rådata-K'!M105</f>
        <v>38.9453125</v>
      </c>
      <c r="E106" s="32">
        <f>'Rådata-K'!O105</f>
        <v>203.00591327201053</v>
      </c>
      <c r="F106" s="32">
        <f>'Rådata-K'!P105</f>
        <v>0.12986241257942122</v>
      </c>
      <c r="G106" s="32">
        <f>'Rådata-K'!Q105</f>
        <v>0.12484828869649649</v>
      </c>
      <c r="H106" s="32">
        <f>'Rådata-K'!R105</f>
        <v>0.13500283194433207</v>
      </c>
      <c r="I106" s="32">
        <f>'Rådata-K'!S105</f>
        <v>0.13153070577451875</v>
      </c>
      <c r="J106" s="32">
        <f>'Rådata-K'!T105</f>
        <v>0.81744297227154761</v>
      </c>
      <c r="K106" s="67">
        <f>'Rådata-K'!L105</f>
        <v>406800</v>
      </c>
      <c r="L106" s="18">
        <f>Tabell2[[#This Row],[NIBR11]]</f>
        <v>2</v>
      </c>
      <c r="M106" s="32">
        <f>IF(Tabell2[[#This Row],[ReisetidOslo]]&lt;=D$427,D$427,IF(Tabell2[[#This Row],[ReisetidOslo]]&gt;=D$428,D$428,Tabell2[[#This Row],[ReisetidOslo]]))</f>
        <v>54.622656249999999</v>
      </c>
      <c r="N106" s="32">
        <f>IF(Tabell2[[#This Row],[Beftettotal]]&lt;=E$427,E$427,IF(Tabell2[[#This Row],[Beftettotal]]&gt;=E$428,E$428,Tabell2[[#This Row],[Beftettotal]]))</f>
        <v>135.41854576488009</v>
      </c>
      <c r="O106" s="32">
        <f>IF(Tabell2[[#This Row],[Befvekst10]]&lt;=F$427,F$427,IF(Tabell2[[#This Row],[Befvekst10]]&gt;=F$428,F$428,Tabell2[[#This Row],[Befvekst10]]))</f>
        <v>0.12986241257942122</v>
      </c>
      <c r="P106" s="32">
        <f>IF(Tabell2[[#This Row],[Kvinneandel]]&lt;=G$427,G$427,IF(Tabell2[[#This Row],[Kvinneandel]]&gt;=G$428,G$428,Tabell2[[#This Row],[Kvinneandel]]))</f>
        <v>0.12484828869649649</v>
      </c>
      <c r="Q106" s="32">
        <f>IF(Tabell2[[#This Row],[Eldreandel]]&lt;=H$427,H$427,IF(Tabell2[[#This Row],[Eldreandel]]&gt;=H$428,H$428,Tabell2[[#This Row],[Eldreandel]]))</f>
        <v>0.13500283194433207</v>
      </c>
      <c r="R106" s="32">
        <f>IF(Tabell2[[#This Row],[Sysselsettingsvekst10]]&lt;=I$427,I$427,IF(Tabell2[[#This Row],[Sysselsettingsvekst10]]&gt;=I$428,I$428,Tabell2[[#This Row],[Sysselsettingsvekst10]]))</f>
        <v>0.13153070577451875</v>
      </c>
      <c r="S106" s="32">
        <f>IF(Tabell2[[#This Row],[Yrkesaktivandel]]&lt;=J$427,J$427,IF(Tabell2[[#This Row],[Yrkesaktivandel]]&gt;=J$428,J$428,Tabell2[[#This Row],[Yrkesaktivandel]]))</f>
        <v>0.81744297227154761</v>
      </c>
      <c r="T106" s="67">
        <f>IF(Tabell2[[#This Row],[Inntekt]]&lt;=K$427,K$427,IF(Tabell2[[#This Row],[Inntekt]]&gt;=K$428,K$428,Tabell2[[#This Row],[Inntekt]]))</f>
        <v>406800</v>
      </c>
      <c r="U106" s="10">
        <f>IF(Tabell2[[#This Row],[NIBR11-T]]&lt;=L$430,100,IF(Tabell2[[#This Row],[NIBR11-T]]&gt;=L$429,0,100*(L$429-Tabell2[[#This Row],[NIBR11-T]])/L$432))</f>
        <v>90</v>
      </c>
      <c r="V106" s="10">
        <f>(M$429-Tabell2[[#This Row],[ReisetidOslo-T]])*100/M$432</f>
        <v>100</v>
      </c>
      <c r="W106" s="10">
        <f>100-(N$429-Tabell2[[#This Row],[Beftettotal-T]])*100/N$432</f>
        <v>100</v>
      </c>
      <c r="X106" s="10">
        <f>100-(O$429-Tabell2[[#This Row],[Befvekst10-T]])*100/O$432</f>
        <v>79.430127616446597</v>
      </c>
      <c r="Y106" s="10">
        <f>100-(P$429-Tabell2[[#This Row],[Kvinneandel-T]])*100/P$432</f>
        <v>92.264887038842431</v>
      </c>
      <c r="Z106" s="10">
        <f>(Q$429-Tabell2[[#This Row],[Eldreandel-T]])*100/Q$432</f>
        <v>94.949277690208561</v>
      </c>
      <c r="AA106" s="10">
        <f>100-(R$429-Tabell2[[#This Row],[Sysselsettingsvekst10-T]])*100/R$432</f>
        <v>83.37847977546069</v>
      </c>
      <c r="AB106" s="10">
        <f>100-(S$429-Tabell2[[#This Row],[Yrkesaktivandel-T]])*100/S$432</f>
        <v>15.821471083767889</v>
      </c>
      <c r="AC106" s="10">
        <f>100-(T$429-Tabell2[[#This Row],[Inntekt-T]])*100/T$432</f>
        <v>52.949016994335224</v>
      </c>
      <c r="AD10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78.461630545098259</v>
      </c>
    </row>
    <row r="107" spans="1:30" x14ac:dyDescent="0.25">
      <c r="A107" s="2" t="s">
        <v>105</v>
      </c>
      <c r="B107" s="2">
        <v>105</v>
      </c>
      <c r="C107">
        <f>'Rådata-K'!N106</f>
        <v>2</v>
      </c>
      <c r="D107" s="30">
        <f>'Rådata-K'!M106</f>
        <v>28.50390625</v>
      </c>
      <c r="E107" s="32">
        <f>'Rådata-K'!O106</f>
        <v>85.325024032883604</v>
      </c>
      <c r="F107" s="32">
        <f>'Rådata-K'!P106</f>
        <v>0.15649009300444794</v>
      </c>
      <c r="G107" s="32">
        <f>'Rådata-K'!Q106</f>
        <v>0.11596736596736597</v>
      </c>
      <c r="H107" s="32">
        <f>'Rådata-K'!R106</f>
        <v>0.13986013986013987</v>
      </c>
      <c r="I107" s="32">
        <f>'Rådata-K'!S106</f>
        <v>0.22144670050761417</v>
      </c>
      <c r="J107" s="32">
        <f>'Rådata-K'!T106</f>
        <v>0.87003922090008645</v>
      </c>
      <c r="K107" s="67">
        <f>'Rådata-K'!L106</f>
        <v>482800</v>
      </c>
      <c r="L107" s="18">
        <f>Tabell2[[#This Row],[NIBR11]]</f>
        <v>2</v>
      </c>
      <c r="M107" s="32">
        <f>IF(Tabell2[[#This Row],[ReisetidOslo]]&lt;=D$427,D$427,IF(Tabell2[[#This Row],[ReisetidOslo]]&gt;=D$428,D$428,Tabell2[[#This Row],[ReisetidOslo]]))</f>
        <v>54.622656249999999</v>
      </c>
      <c r="N107" s="32">
        <f>IF(Tabell2[[#This Row],[Beftettotal]]&lt;=E$427,E$427,IF(Tabell2[[#This Row],[Beftettotal]]&gt;=E$428,E$428,Tabell2[[#This Row],[Beftettotal]]))</f>
        <v>85.325024032883604</v>
      </c>
      <c r="O107" s="32">
        <f>IF(Tabell2[[#This Row],[Befvekst10]]&lt;=F$427,F$427,IF(Tabell2[[#This Row],[Befvekst10]]&gt;=F$428,F$428,Tabell2[[#This Row],[Befvekst10]]))</f>
        <v>0.15649009300444794</v>
      </c>
      <c r="P107" s="32">
        <f>IF(Tabell2[[#This Row],[Kvinneandel]]&lt;=G$427,G$427,IF(Tabell2[[#This Row],[Kvinneandel]]&gt;=G$428,G$428,Tabell2[[#This Row],[Kvinneandel]]))</f>
        <v>0.11596736596736597</v>
      </c>
      <c r="Q107" s="32">
        <f>IF(Tabell2[[#This Row],[Eldreandel]]&lt;=H$427,H$427,IF(Tabell2[[#This Row],[Eldreandel]]&gt;=H$428,H$428,Tabell2[[#This Row],[Eldreandel]]))</f>
        <v>0.13986013986013987</v>
      </c>
      <c r="R107" s="32">
        <f>IF(Tabell2[[#This Row],[Sysselsettingsvekst10]]&lt;=I$427,I$427,IF(Tabell2[[#This Row],[Sysselsettingsvekst10]]&gt;=I$428,I$428,Tabell2[[#This Row],[Sysselsettingsvekst10]]))</f>
        <v>0.17904192152607218</v>
      </c>
      <c r="S107" s="32">
        <f>IF(Tabell2[[#This Row],[Yrkesaktivandel]]&lt;=J$427,J$427,IF(Tabell2[[#This Row],[Yrkesaktivandel]]&gt;=J$428,J$428,Tabell2[[#This Row],[Yrkesaktivandel]]))</f>
        <v>0.87003922090008645</v>
      </c>
      <c r="T107" s="67">
        <f>IF(Tabell2[[#This Row],[Inntekt]]&lt;=K$427,K$427,IF(Tabell2[[#This Row],[Inntekt]]&gt;=K$428,K$428,Tabell2[[#This Row],[Inntekt]]))</f>
        <v>449160</v>
      </c>
      <c r="U107" s="10">
        <f>IF(Tabell2[[#This Row],[NIBR11-T]]&lt;=L$430,100,IF(Tabell2[[#This Row],[NIBR11-T]]&gt;=L$429,0,100*(L$429-Tabell2[[#This Row],[NIBR11-T]])/L$432))</f>
        <v>90</v>
      </c>
      <c r="V107" s="10">
        <f>(M$429-Tabell2[[#This Row],[ReisetidOslo-T]])*100/M$432</f>
        <v>100</v>
      </c>
      <c r="W107" s="10">
        <f>100-(N$429-Tabell2[[#This Row],[Beftettotal-T]])*100/N$432</f>
        <v>62.665004640696843</v>
      </c>
      <c r="X107" s="10">
        <f>100-(O$429-Tabell2[[#This Row],[Befvekst10-T]])*100/O$432</f>
        <v>90.900661462125612</v>
      </c>
      <c r="Y107" s="10">
        <f>100-(P$429-Tabell2[[#This Row],[Kvinneandel-T]])*100/P$432</f>
        <v>68.80767747924088</v>
      </c>
      <c r="Z107" s="10">
        <f>(Q$429-Tabell2[[#This Row],[Eldreandel-T]])*100/Q$432</f>
        <v>89.710125773981872</v>
      </c>
      <c r="AA107" s="10">
        <f>100-(R$429-Tabell2[[#This Row],[Sysselsettingsvekst10-T]])*100/R$432</f>
        <v>100</v>
      </c>
      <c r="AB107" s="10">
        <f>100-(S$429-Tabell2[[#This Row],[Yrkesaktivandel-T]])*100/S$432</f>
        <v>56.617428382244881</v>
      </c>
      <c r="AC107" s="10">
        <f>100-(T$429-Tabell2[[#This Row],[Inntekt-T]])*100/T$432</f>
        <v>100</v>
      </c>
      <c r="AD10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86.034265757380425</v>
      </c>
    </row>
    <row r="108" spans="1:30" x14ac:dyDescent="0.25">
      <c r="A108" s="2" t="s">
        <v>106</v>
      </c>
      <c r="B108" s="2">
        <v>106</v>
      </c>
      <c r="C108">
        <f>'Rådata-K'!N107</f>
        <v>1</v>
      </c>
      <c r="D108" s="30">
        <f>'Rådata-K'!M107</f>
        <v>26.12109375</v>
      </c>
      <c r="E108" s="32">
        <f>'Rådata-K'!O107</f>
        <v>194.71721566190178</v>
      </c>
      <c r="F108" s="32">
        <f>'Rådata-K'!P107</f>
        <v>0.2307649138559964</v>
      </c>
      <c r="G108" s="32">
        <f>'Rådata-K'!Q107</f>
        <v>0.11645615794993389</v>
      </c>
      <c r="H108" s="32">
        <f>'Rådata-K'!R107</f>
        <v>0.12639642515161187</v>
      </c>
      <c r="I108" s="32">
        <f>'Rådata-K'!S107</f>
        <v>0.18735798388762648</v>
      </c>
      <c r="J108" s="32">
        <f>'Rådata-K'!T107</f>
        <v>0.87625730994152051</v>
      </c>
      <c r="K108" s="67">
        <f>'Rådata-K'!L107</f>
        <v>468600</v>
      </c>
      <c r="L108" s="18">
        <f>Tabell2[[#This Row],[NIBR11]]</f>
        <v>1</v>
      </c>
      <c r="M108" s="32">
        <f>IF(Tabell2[[#This Row],[ReisetidOslo]]&lt;=D$427,D$427,IF(Tabell2[[#This Row],[ReisetidOslo]]&gt;=D$428,D$428,Tabell2[[#This Row],[ReisetidOslo]]))</f>
        <v>54.622656249999999</v>
      </c>
      <c r="N108" s="32">
        <f>IF(Tabell2[[#This Row],[Beftettotal]]&lt;=E$427,E$427,IF(Tabell2[[#This Row],[Beftettotal]]&gt;=E$428,E$428,Tabell2[[#This Row],[Beftettotal]]))</f>
        <v>135.41854576488009</v>
      </c>
      <c r="O108" s="32">
        <f>IF(Tabell2[[#This Row],[Befvekst10]]&lt;=F$427,F$427,IF(Tabell2[[#This Row],[Befvekst10]]&gt;=F$428,F$428,Tabell2[[#This Row],[Befvekst10]]))</f>
        <v>0.17761328412400704</v>
      </c>
      <c r="P108" s="32">
        <f>IF(Tabell2[[#This Row],[Kvinneandel]]&lt;=G$427,G$427,IF(Tabell2[[#This Row],[Kvinneandel]]&gt;=G$428,G$428,Tabell2[[#This Row],[Kvinneandel]]))</f>
        <v>0.11645615794993389</v>
      </c>
      <c r="Q108" s="32">
        <f>IF(Tabell2[[#This Row],[Eldreandel]]&lt;=H$427,H$427,IF(Tabell2[[#This Row],[Eldreandel]]&gt;=H$428,H$428,Tabell2[[#This Row],[Eldreandel]]))</f>
        <v>0.13032022035982854</v>
      </c>
      <c r="R108" s="32">
        <f>IF(Tabell2[[#This Row],[Sysselsettingsvekst10]]&lt;=I$427,I$427,IF(Tabell2[[#This Row],[Sysselsettingsvekst10]]&gt;=I$428,I$428,Tabell2[[#This Row],[Sysselsettingsvekst10]]))</f>
        <v>0.17904192152607218</v>
      </c>
      <c r="S108" s="32">
        <f>IF(Tabell2[[#This Row],[Yrkesaktivandel]]&lt;=J$427,J$427,IF(Tabell2[[#This Row],[Yrkesaktivandel]]&gt;=J$428,J$428,Tabell2[[#This Row],[Yrkesaktivandel]]))</f>
        <v>0.87625730994152051</v>
      </c>
      <c r="T108" s="67">
        <f>IF(Tabell2[[#This Row],[Inntekt]]&lt;=K$427,K$427,IF(Tabell2[[#This Row],[Inntekt]]&gt;=K$428,K$428,Tabell2[[#This Row],[Inntekt]]))</f>
        <v>449160</v>
      </c>
      <c r="U108" s="10">
        <f>IF(Tabell2[[#This Row],[NIBR11-T]]&lt;=L$430,100,IF(Tabell2[[#This Row],[NIBR11-T]]&gt;=L$429,0,100*(L$429-Tabell2[[#This Row],[NIBR11-T]])/L$432))</f>
        <v>100</v>
      </c>
      <c r="V108" s="10">
        <f>(M$429-Tabell2[[#This Row],[ReisetidOslo-T]])*100/M$432</f>
        <v>100</v>
      </c>
      <c r="W108" s="10">
        <f>100-(N$429-Tabell2[[#This Row],[Beftettotal-T]])*100/N$432</f>
        <v>100</v>
      </c>
      <c r="X108" s="10">
        <f>100-(O$429-Tabell2[[#This Row],[Befvekst10-T]])*100/O$432</f>
        <v>100</v>
      </c>
      <c r="Y108" s="10">
        <f>100-(P$429-Tabell2[[#This Row],[Kvinneandel-T]])*100/P$432</f>
        <v>70.09872530342021</v>
      </c>
      <c r="Z108" s="10">
        <f>(Q$429-Tabell2[[#This Row],[Eldreandel-T]])*100/Q$432</f>
        <v>100</v>
      </c>
      <c r="AA108" s="10">
        <f>100-(R$429-Tabell2[[#This Row],[Sysselsettingsvekst10-T]])*100/R$432</f>
        <v>100</v>
      </c>
      <c r="AB108" s="10">
        <f>100-(S$429-Tabell2[[#This Row],[Yrkesaktivandel-T]])*100/S$432</f>
        <v>61.440450967069076</v>
      </c>
      <c r="AC108" s="10">
        <f>100-(T$429-Tabell2[[#This Row],[Inntekt-T]])*100/T$432</f>
        <v>100</v>
      </c>
      <c r="AD10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94.648981361877915</v>
      </c>
    </row>
    <row r="109" spans="1:30" x14ac:dyDescent="0.25">
      <c r="A109" s="2" t="s">
        <v>107</v>
      </c>
      <c r="B109" s="2">
        <v>107</v>
      </c>
      <c r="C109">
        <f>'Rådata-K'!N108</f>
        <v>1</v>
      </c>
      <c r="D109" s="30">
        <f>'Rådata-K'!M108</f>
        <v>52.9765625</v>
      </c>
      <c r="E109" s="32">
        <f>'Rådata-K'!O108</f>
        <v>57.9566335905917</v>
      </c>
      <c r="F109" s="32">
        <f>'Rådata-K'!P108</f>
        <v>5.8981533296026845E-2</v>
      </c>
      <c r="G109" s="32">
        <f>'Rådata-K'!Q108</f>
        <v>9.8076516592686541E-2</v>
      </c>
      <c r="H109" s="32">
        <f>'Rådata-K'!R108</f>
        <v>0.17786937222574509</v>
      </c>
      <c r="I109" s="32">
        <f>'Rådata-K'!S108</f>
        <v>-0.10845910845910844</v>
      </c>
      <c r="J109" s="32">
        <f>'Rådata-K'!T108</f>
        <v>0.83921277385815074</v>
      </c>
      <c r="K109" s="67">
        <f>'Rådata-K'!L108</f>
        <v>422800</v>
      </c>
      <c r="L109" s="18">
        <f>Tabell2[[#This Row],[NIBR11]]</f>
        <v>1</v>
      </c>
      <c r="M109" s="32">
        <f>IF(Tabell2[[#This Row],[ReisetidOslo]]&lt;=D$427,D$427,IF(Tabell2[[#This Row],[ReisetidOslo]]&gt;=D$428,D$428,Tabell2[[#This Row],[ReisetidOslo]]))</f>
        <v>54.622656249999999</v>
      </c>
      <c r="N109" s="32">
        <f>IF(Tabell2[[#This Row],[Beftettotal]]&lt;=E$427,E$427,IF(Tabell2[[#This Row],[Beftettotal]]&gt;=E$428,E$428,Tabell2[[#This Row],[Beftettotal]]))</f>
        <v>57.9566335905917</v>
      </c>
      <c r="O109" s="32">
        <f>IF(Tabell2[[#This Row],[Befvekst10]]&lt;=F$427,F$427,IF(Tabell2[[#This Row],[Befvekst10]]&gt;=F$428,F$428,Tabell2[[#This Row],[Befvekst10]]))</f>
        <v>5.8981533296026845E-2</v>
      </c>
      <c r="P109" s="32">
        <f>IF(Tabell2[[#This Row],[Kvinneandel]]&lt;=G$427,G$427,IF(Tabell2[[#This Row],[Kvinneandel]]&gt;=G$428,G$428,Tabell2[[#This Row],[Kvinneandel]]))</f>
        <v>9.8076516592686541E-2</v>
      </c>
      <c r="Q109" s="32">
        <f>IF(Tabell2[[#This Row],[Eldreandel]]&lt;=H$427,H$427,IF(Tabell2[[#This Row],[Eldreandel]]&gt;=H$428,H$428,Tabell2[[#This Row],[Eldreandel]]))</f>
        <v>0.17786937222574509</v>
      </c>
      <c r="R109" s="32">
        <f>IF(Tabell2[[#This Row],[Sysselsettingsvekst10]]&lt;=I$427,I$427,IF(Tabell2[[#This Row],[Sysselsettingsvekst10]]&gt;=I$428,I$428,Tabell2[[#This Row],[Sysselsettingsvekst10]]))</f>
        <v>-0.10679965679965678</v>
      </c>
      <c r="S109" s="32">
        <f>IF(Tabell2[[#This Row],[Yrkesaktivandel]]&lt;=J$427,J$427,IF(Tabell2[[#This Row],[Yrkesaktivandel]]&gt;=J$428,J$428,Tabell2[[#This Row],[Yrkesaktivandel]]))</f>
        <v>0.83921277385815074</v>
      </c>
      <c r="T109" s="67">
        <f>IF(Tabell2[[#This Row],[Inntekt]]&lt;=K$427,K$427,IF(Tabell2[[#This Row],[Inntekt]]&gt;=K$428,K$428,Tabell2[[#This Row],[Inntekt]]))</f>
        <v>422800</v>
      </c>
      <c r="U109" s="10">
        <f>IF(Tabell2[[#This Row],[NIBR11-T]]&lt;=L$430,100,IF(Tabell2[[#This Row],[NIBR11-T]]&gt;=L$429,0,100*(L$429-Tabell2[[#This Row],[NIBR11-T]])/L$432))</f>
        <v>100</v>
      </c>
      <c r="V109" s="10">
        <f>(M$429-Tabell2[[#This Row],[ReisetidOslo-T]])*100/M$432</f>
        <v>100</v>
      </c>
      <c r="W109" s="10">
        <f>100-(N$429-Tabell2[[#This Row],[Beftettotal-T]])*100/N$432</f>
        <v>42.267182830099202</v>
      </c>
      <c r="X109" s="10">
        <f>100-(O$429-Tabell2[[#This Row],[Befvekst10-T]])*100/O$432</f>
        <v>48.89643065696584</v>
      </c>
      <c r="Y109" s="10">
        <f>100-(P$429-Tabell2[[#This Row],[Kvinneandel-T]])*100/P$432</f>
        <v>21.552519903716146</v>
      </c>
      <c r="Z109" s="10">
        <f>(Q$429-Tabell2[[#This Row],[Eldreandel-T]])*100/Q$432</f>
        <v>48.712901378449843</v>
      </c>
      <c r="AA109" s="10">
        <f>100-(R$429-Tabell2[[#This Row],[Sysselsettingsvekst10-T]])*100/R$432</f>
        <v>0</v>
      </c>
      <c r="AB109" s="10">
        <f>100-(S$429-Tabell2[[#This Row],[Yrkesaktivandel-T]])*100/S$432</f>
        <v>32.70708401399277</v>
      </c>
      <c r="AC109" s="10">
        <f>100-(T$429-Tabell2[[#This Row],[Inntekt-T]])*100/T$432</f>
        <v>70.72087082083749</v>
      </c>
      <c r="AD10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57.862070961994412</v>
      </c>
    </row>
    <row r="110" spans="1:30" x14ac:dyDescent="0.25">
      <c r="A110" s="2" t="s">
        <v>108</v>
      </c>
      <c r="B110" s="2">
        <v>108</v>
      </c>
      <c r="C110">
        <f>'Rådata-K'!N109</f>
        <v>5</v>
      </c>
      <c r="D110" s="30">
        <f>'Rådata-K'!M109</f>
        <v>75.78125</v>
      </c>
      <c r="E110" s="32">
        <f>'Rådata-K'!O109</f>
        <v>4.7979213753092136</v>
      </c>
      <c r="F110" s="32">
        <f>'Rådata-K'!P109</f>
        <v>6.8569163694015112E-2</v>
      </c>
      <c r="G110" s="32">
        <f>'Rådata-K'!Q109</f>
        <v>0.10497032640949555</v>
      </c>
      <c r="H110" s="32">
        <f>'Rådata-K'!R109</f>
        <v>0.17655786350148367</v>
      </c>
      <c r="I110" s="32">
        <f>'Rådata-K'!S109</f>
        <v>1.2953367875647714E-3</v>
      </c>
      <c r="J110" s="32">
        <f>'Rådata-K'!T109</f>
        <v>0.91211717709720375</v>
      </c>
      <c r="K110" s="67">
        <f>'Rådata-K'!L109</f>
        <v>417200</v>
      </c>
      <c r="L110" s="18">
        <f>Tabell2[[#This Row],[NIBR11]]</f>
        <v>5</v>
      </c>
      <c r="M110" s="32">
        <f>IF(Tabell2[[#This Row],[ReisetidOslo]]&lt;=D$427,D$427,IF(Tabell2[[#This Row],[ReisetidOslo]]&gt;=D$428,D$428,Tabell2[[#This Row],[ReisetidOslo]]))</f>
        <v>75.78125</v>
      </c>
      <c r="N110" s="32">
        <f>IF(Tabell2[[#This Row],[Beftettotal]]&lt;=E$427,E$427,IF(Tabell2[[#This Row],[Beftettotal]]&gt;=E$428,E$428,Tabell2[[#This Row],[Beftettotal]]))</f>
        <v>4.7979213753092136</v>
      </c>
      <c r="O110" s="32">
        <f>IF(Tabell2[[#This Row],[Befvekst10]]&lt;=F$427,F$427,IF(Tabell2[[#This Row],[Befvekst10]]&gt;=F$428,F$428,Tabell2[[#This Row],[Befvekst10]]))</f>
        <v>6.8569163694015112E-2</v>
      </c>
      <c r="P110" s="32">
        <f>IF(Tabell2[[#This Row],[Kvinneandel]]&lt;=G$427,G$427,IF(Tabell2[[#This Row],[Kvinneandel]]&gt;=G$428,G$428,Tabell2[[#This Row],[Kvinneandel]]))</f>
        <v>0.10497032640949555</v>
      </c>
      <c r="Q110" s="32">
        <f>IF(Tabell2[[#This Row],[Eldreandel]]&lt;=H$427,H$427,IF(Tabell2[[#This Row],[Eldreandel]]&gt;=H$428,H$428,Tabell2[[#This Row],[Eldreandel]]))</f>
        <v>0.17655786350148367</v>
      </c>
      <c r="R110" s="32">
        <f>IF(Tabell2[[#This Row],[Sysselsettingsvekst10]]&lt;=I$427,I$427,IF(Tabell2[[#This Row],[Sysselsettingsvekst10]]&gt;=I$428,I$428,Tabell2[[#This Row],[Sysselsettingsvekst10]]))</f>
        <v>1.2953367875647714E-3</v>
      </c>
      <c r="S110" s="32">
        <f>IF(Tabell2[[#This Row],[Yrkesaktivandel]]&lt;=J$427,J$427,IF(Tabell2[[#This Row],[Yrkesaktivandel]]&gt;=J$428,J$428,Tabell2[[#This Row],[Yrkesaktivandel]]))</f>
        <v>0.91211717709720375</v>
      </c>
      <c r="T110" s="67">
        <f>IF(Tabell2[[#This Row],[Inntekt]]&lt;=K$427,K$427,IF(Tabell2[[#This Row],[Inntekt]]&gt;=K$428,K$428,Tabell2[[#This Row],[Inntekt]]))</f>
        <v>417200</v>
      </c>
      <c r="U110" s="10">
        <f>IF(Tabell2[[#This Row],[NIBR11-T]]&lt;=L$430,100,IF(Tabell2[[#This Row],[NIBR11-T]]&gt;=L$429,0,100*(L$429-Tabell2[[#This Row],[NIBR11-T]])/L$432))</f>
        <v>60</v>
      </c>
      <c r="V110" s="10">
        <f>(M$429-Tabell2[[#This Row],[ReisetidOslo-T]])*100/M$432</f>
        <v>90.884183386682551</v>
      </c>
      <c r="W110" s="10">
        <f>100-(N$429-Tabell2[[#This Row],[Beftettotal-T]])*100/N$432</f>
        <v>2.6476830376456206</v>
      </c>
      <c r="X110" s="10">
        <f>100-(O$429-Tabell2[[#This Row],[Befvekst10-T]])*100/O$432</f>
        <v>53.026540273146388</v>
      </c>
      <c r="Y110" s="10">
        <f>100-(P$429-Tabell2[[#This Row],[Kvinneandel-T]])*100/P$432</f>
        <v>39.761161783517686</v>
      </c>
      <c r="Z110" s="10">
        <f>(Q$429-Tabell2[[#This Row],[Eldreandel-T]])*100/Q$432</f>
        <v>50.127510780398687</v>
      </c>
      <c r="AA110" s="10">
        <f>100-(R$429-Tabell2[[#This Row],[Sysselsettingsvekst10-T]])*100/R$432</f>
        <v>37.816399636599606</v>
      </c>
      <c r="AB110" s="10">
        <f>100-(S$429-Tabell2[[#This Row],[Yrkesaktivandel-T]])*100/S$432</f>
        <v>89.254936740461616</v>
      </c>
      <c r="AC110" s="10">
        <f>100-(T$429-Tabell2[[#This Row],[Inntekt-T]])*100/T$432</f>
        <v>64.500721981561696</v>
      </c>
      <c r="AD11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55.610134161120207</v>
      </c>
    </row>
    <row r="111" spans="1:30" x14ac:dyDescent="0.25">
      <c r="A111" s="2" t="s">
        <v>109</v>
      </c>
      <c r="B111" s="2">
        <v>109</v>
      </c>
      <c r="C111">
        <f>'Rådata-K'!N110</f>
        <v>5</v>
      </c>
      <c r="D111" s="30">
        <f>'Rådata-K'!M110</f>
        <v>96.59375</v>
      </c>
      <c r="E111" s="32">
        <f>'Rådata-K'!O110</f>
        <v>3.1138017761356807</v>
      </c>
      <c r="F111" s="32">
        <f>'Rådata-K'!P110</f>
        <v>-2.1398002853066922E-3</v>
      </c>
      <c r="G111" s="32">
        <f>'Rådata-K'!Q110</f>
        <v>9.0064331665475339E-2</v>
      </c>
      <c r="H111" s="32">
        <f>'Rådata-K'!R110</f>
        <v>0.21586847748391708</v>
      </c>
      <c r="I111" s="32">
        <f>'Rådata-K'!S110</f>
        <v>0.10227272727272729</v>
      </c>
      <c r="J111" s="32">
        <f>'Rådata-K'!T110</f>
        <v>0.94743758212877793</v>
      </c>
      <c r="K111" s="67">
        <f>'Rådata-K'!L110</f>
        <v>377600</v>
      </c>
      <c r="L111" s="18">
        <f>Tabell2[[#This Row],[NIBR11]]</f>
        <v>5</v>
      </c>
      <c r="M111" s="32">
        <f>IF(Tabell2[[#This Row],[ReisetidOslo]]&lt;=D$427,D$427,IF(Tabell2[[#This Row],[ReisetidOslo]]&gt;=D$428,D$428,Tabell2[[#This Row],[ReisetidOslo]]))</f>
        <v>96.59375</v>
      </c>
      <c r="N111" s="32">
        <f>IF(Tabell2[[#This Row],[Beftettotal]]&lt;=E$427,E$427,IF(Tabell2[[#This Row],[Beftettotal]]&gt;=E$428,E$428,Tabell2[[#This Row],[Beftettotal]]))</f>
        <v>3.1138017761356807</v>
      </c>
      <c r="O111" s="32">
        <f>IF(Tabell2[[#This Row],[Befvekst10]]&lt;=F$427,F$427,IF(Tabell2[[#This Row],[Befvekst10]]&gt;=F$428,F$428,Tabell2[[#This Row],[Befvekst10]]))</f>
        <v>-2.1398002853066922E-3</v>
      </c>
      <c r="P111" s="32">
        <f>IF(Tabell2[[#This Row],[Kvinneandel]]&lt;=G$427,G$427,IF(Tabell2[[#This Row],[Kvinneandel]]&gt;=G$428,G$428,Tabell2[[#This Row],[Kvinneandel]]))</f>
        <v>9.0064331665475339E-2</v>
      </c>
      <c r="Q111" s="32">
        <f>IF(Tabell2[[#This Row],[Eldreandel]]&lt;=H$427,H$427,IF(Tabell2[[#This Row],[Eldreandel]]&gt;=H$428,H$428,Tabell2[[#This Row],[Eldreandel]]))</f>
        <v>0.21586847748391708</v>
      </c>
      <c r="R111" s="32">
        <f>IF(Tabell2[[#This Row],[Sysselsettingsvekst10]]&lt;=I$427,I$427,IF(Tabell2[[#This Row],[Sysselsettingsvekst10]]&gt;=I$428,I$428,Tabell2[[#This Row],[Sysselsettingsvekst10]]))</f>
        <v>0.10227272727272729</v>
      </c>
      <c r="S111" s="32">
        <f>IF(Tabell2[[#This Row],[Yrkesaktivandel]]&lt;=J$427,J$427,IF(Tabell2[[#This Row],[Yrkesaktivandel]]&gt;=J$428,J$428,Tabell2[[#This Row],[Yrkesaktivandel]]))</f>
        <v>0.92597026588718434</v>
      </c>
      <c r="T111" s="67">
        <f>IF(Tabell2[[#This Row],[Inntekt]]&lt;=K$427,K$427,IF(Tabell2[[#This Row],[Inntekt]]&gt;=K$428,K$428,Tabell2[[#This Row],[Inntekt]]))</f>
        <v>377600</v>
      </c>
      <c r="U111" s="10">
        <f>IF(Tabell2[[#This Row],[NIBR11-T]]&lt;=L$430,100,IF(Tabell2[[#This Row],[NIBR11-T]]&gt;=L$429,0,100*(L$429-Tabell2[[#This Row],[NIBR11-T]])/L$432))</f>
        <v>60</v>
      </c>
      <c r="V111" s="10">
        <f>(M$429-Tabell2[[#This Row],[ReisetidOslo-T]])*100/M$432</f>
        <v>81.917475319674594</v>
      </c>
      <c r="W111" s="10">
        <f>100-(N$429-Tabell2[[#This Row],[Beftettotal-T]])*100/N$432</f>
        <v>1.3924988292753397</v>
      </c>
      <c r="X111" s="10">
        <f>100-(O$429-Tabell2[[#This Row],[Befvekst10-T]])*100/O$432</f>
        <v>22.566900095273297</v>
      </c>
      <c r="Y111" s="10">
        <f>100-(P$429-Tabell2[[#This Row],[Kvinneandel-T]])*100/P$432</f>
        <v>0.38991027404374279</v>
      </c>
      <c r="Z111" s="10">
        <f>(Q$429-Tabell2[[#This Row],[Eldreandel-T]])*100/Q$432</f>
        <v>7.7266002052529661</v>
      </c>
      <c r="AA111" s="10">
        <f>100-(R$429-Tabell2[[#This Row],[Sysselsettingsvekst10-T]])*100/R$432</f>
        <v>73.142747565624262</v>
      </c>
      <c r="AB111" s="10">
        <f>100-(S$429-Tabell2[[#This Row],[Yrkesaktivandel-T]])*100/S$432</f>
        <v>100</v>
      </c>
      <c r="AC111" s="10">
        <f>100-(T$429-Tabell2[[#This Row],[Inntekt-T]])*100/T$432</f>
        <v>20.515383760968561</v>
      </c>
      <c r="AD11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44.616016090573765</v>
      </c>
    </row>
    <row r="112" spans="1:30" x14ac:dyDescent="0.25">
      <c r="A112" s="2" t="s">
        <v>110</v>
      </c>
      <c r="B112" s="2">
        <v>110</v>
      </c>
      <c r="C112">
        <f>'Rådata-K'!N111</f>
        <v>11</v>
      </c>
      <c r="D112" s="30">
        <f>'Rådata-K'!M111</f>
        <v>131.71875</v>
      </c>
      <c r="E112" s="32">
        <f>'Rådata-K'!O111</f>
        <v>1.0110738563475856</v>
      </c>
      <c r="F112" s="32">
        <f>'Rådata-K'!P111</f>
        <v>1.5835312747427555E-3</v>
      </c>
      <c r="G112" s="32">
        <f>'Rådata-K'!Q111</f>
        <v>8.8537549407114627E-2</v>
      </c>
      <c r="H112" s="32">
        <f>'Rådata-K'!R111</f>
        <v>0.20395256916996046</v>
      </c>
      <c r="I112" s="32">
        <f>'Rådata-K'!S111</f>
        <v>3.1796502384737746E-3</v>
      </c>
      <c r="J112" s="32">
        <f>'Rådata-K'!T111</f>
        <v>0.9751066856330014</v>
      </c>
      <c r="K112" s="67">
        <f>'Rådata-K'!L111</f>
        <v>376900</v>
      </c>
      <c r="L112" s="18">
        <f>Tabell2[[#This Row],[NIBR11]]</f>
        <v>11</v>
      </c>
      <c r="M112" s="32">
        <f>IF(Tabell2[[#This Row],[ReisetidOslo]]&lt;=D$427,D$427,IF(Tabell2[[#This Row],[ReisetidOslo]]&gt;=D$428,D$428,Tabell2[[#This Row],[ReisetidOslo]]))</f>
        <v>131.71875</v>
      </c>
      <c r="N112" s="32">
        <f>IF(Tabell2[[#This Row],[Beftettotal]]&lt;=E$427,E$427,IF(Tabell2[[#This Row],[Beftettotal]]&gt;=E$428,E$428,Tabell2[[#This Row],[Beftettotal]]))</f>
        <v>1.2454428893921135</v>
      </c>
      <c r="O112" s="32">
        <f>IF(Tabell2[[#This Row],[Befvekst10]]&lt;=F$427,F$427,IF(Tabell2[[#This Row],[Befvekst10]]&gt;=F$428,F$428,Tabell2[[#This Row],[Befvekst10]]))</f>
        <v>1.5835312747427555E-3</v>
      </c>
      <c r="P112" s="32">
        <f>IF(Tabell2[[#This Row],[Kvinneandel]]&lt;=G$427,G$427,IF(Tabell2[[#This Row],[Kvinneandel]]&gt;=G$428,G$428,Tabell2[[#This Row],[Kvinneandel]]))</f>
        <v>8.9916711250255951E-2</v>
      </c>
      <c r="Q112" s="32">
        <f>IF(Tabell2[[#This Row],[Eldreandel]]&lt;=H$427,H$427,IF(Tabell2[[#This Row],[Eldreandel]]&gt;=H$428,H$428,Tabell2[[#This Row],[Eldreandel]]))</f>
        <v>0.20395256916996046</v>
      </c>
      <c r="R112" s="32">
        <f>IF(Tabell2[[#This Row],[Sysselsettingsvekst10]]&lt;=I$427,I$427,IF(Tabell2[[#This Row],[Sysselsettingsvekst10]]&gt;=I$428,I$428,Tabell2[[#This Row],[Sysselsettingsvekst10]]))</f>
        <v>3.1796502384737746E-3</v>
      </c>
      <c r="S112" s="32">
        <f>IF(Tabell2[[#This Row],[Yrkesaktivandel]]&lt;=J$427,J$427,IF(Tabell2[[#This Row],[Yrkesaktivandel]]&gt;=J$428,J$428,Tabell2[[#This Row],[Yrkesaktivandel]]))</f>
        <v>0.92597026588718434</v>
      </c>
      <c r="T112" s="67">
        <f>IF(Tabell2[[#This Row],[Inntekt]]&lt;=K$427,K$427,IF(Tabell2[[#This Row],[Inntekt]]&gt;=K$428,K$428,Tabell2[[#This Row],[Inntekt]]))</f>
        <v>376900</v>
      </c>
      <c r="U112" s="10">
        <f>IF(Tabell2[[#This Row],[NIBR11-T]]&lt;=L$430,100,IF(Tabell2[[#This Row],[NIBR11-T]]&gt;=L$429,0,100*(L$429-Tabell2[[#This Row],[NIBR11-T]])/L$432))</f>
        <v>0</v>
      </c>
      <c r="V112" s="10">
        <f>(M$429-Tabell2[[#This Row],[ReisetidOslo-T]])*100/M$432</f>
        <v>66.784472515895374</v>
      </c>
      <c r="W112" s="10">
        <f>100-(N$429-Tabell2[[#This Row],[Beftettotal-T]])*100/N$432</f>
        <v>0</v>
      </c>
      <c r="X112" s="10">
        <f>100-(O$429-Tabell2[[#This Row],[Befvekst10-T]])*100/O$432</f>
        <v>24.17081752242143</v>
      </c>
      <c r="Y112" s="10">
        <f>100-(P$429-Tabell2[[#This Row],[Kvinneandel-T]])*100/P$432</f>
        <v>0</v>
      </c>
      <c r="Z112" s="10">
        <f>(Q$429-Tabell2[[#This Row],[Eldreandel-T]])*100/Q$432</f>
        <v>20.579245118595885</v>
      </c>
      <c r="AA112" s="10">
        <f>100-(R$429-Tabell2[[#This Row],[Sysselsettingsvekst10-T]])*100/R$432</f>
        <v>38.475615647771278</v>
      </c>
      <c r="AB112" s="10">
        <f>100-(S$429-Tabell2[[#This Row],[Yrkesaktivandel-T]])*100/S$432</f>
        <v>100</v>
      </c>
      <c r="AC112" s="10">
        <f>100-(T$429-Tabell2[[#This Row],[Inntekt-T]])*100/T$432</f>
        <v>19.737865156059087</v>
      </c>
      <c r="AD11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28.362921092386657</v>
      </c>
    </row>
    <row r="113" spans="1:30" x14ac:dyDescent="0.25">
      <c r="A113" s="2" t="s">
        <v>111</v>
      </c>
      <c r="B113" s="2">
        <v>111</v>
      </c>
      <c r="C113">
        <f>'Rådata-K'!N112</f>
        <v>2</v>
      </c>
      <c r="D113" s="30">
        <f>'Rådata-K'!M112</f>
        <v>63.1640625</v>
      </c>
      <c r="E113" s="32">
        <f>'Rådata-K'!O112</f>
        <v>386.6117111995452</v>
      </c>
      <c r="F113" s="32">
        <f>'Rådata-K'!P112</f>
        <v>8.7601455359641811E-2</v>
      </c>
      <c r="G113" s="32">
        <f>'Rådata-K'!Q112</f>
        <v>0.11296963458569223</v>
      </c>
      <c r="H113" s="32">
        <f>'Rådata-K'!R112</f>
        <v>0.16767149474303361</v>
      </c>
      <c r="I113" s="32">
        <f>'Rådata-K'!S112</f>
        <v>5.4344667247893108E-2</v>
      </c>
      <c r="J113" s="32">
        <f>'Rådata-K'!T112</f>
        <v>0.7775795041743675</v>
      </c>
      <c r="K113" s="67">
        <f>'Rådata-K'!L112</f>
        <v>400400</v>
      </c>
      <c r="L113" s="18">
        <f>Tabell2[[#This Row],[NIBR11]]</f>
        <v>2</v>
      </c>
      <c r="M113" s="32">
        <f>IF(Tabell2[[#This Row],[ReisetidOslo]]&lt;=D$427,D$427,IF(Tabell2[[#This Row],[ReisetidOslo]]&gt;=D$428,D$428,Tabell2[[#This Row],[ReisetidOslo]]))</f>
        <v>63.1640625</v>
      </c>
      <c r="N113" s="32">
        <f>IF(Tabell2[[#This Row],[Beftettotal]]&lt;=E$427,E$427,IF(Tabell2[[#This Row],[Beftettotal]]&gt;=E$428,E$428,Tabell2[[#This Row],[Beftettotal]]))</f>
        <v>135.41854576488009</v>
      </c>
      <c r="O113" s="32">
        <f>IF(Tabell2[[#This Row],[Befvekst10]]&lt;=F$427,F$427,IF(Tabell2[[#This Row],[Befvekst10]]&gt;=F$428,F$428,Tabell2[[#This Row],[Befvekst10]]))</f>
        <v>8.7601455359641811E-2</v>
      </c>
      <c r="P113" s="32">
        <f>IF(Tabell2[[#This Row],[Kvinneandel]]&lt;=G$427,G$427,IF(Tabell2[[#This Row],[Kvinneandel]]&gt;=G$428,G$428,Tabell2[[#This Row],[Kvinneandel]]))</f>
        <v>0.11296963458569223</v>
      </c>
      <c r="Q113" s="32">
        <f>IF(Tabell2[[#This Row],[Eldreandel]]&lt;=H$427,H$427,IF(Tabell2[[#This Row],[Eldreandel]]&gt;=H$428,H$428,Tabell2[[#This Row],[Eldreandel]]))</f>
        <v>0.16767149474303361</v>
      </c>
      <c r="R113" s="32">
        <f>IF(Tabell2[[#This Row],[Sysselsettingsvekst10]]&lt;=I$427,I$427,IF(Tabell2[[#This Row],[Sysselsettingsvekst10]]&gt;=I$428,I$428,Tabell2[[#This Row],[Sysselsettingsvekst10]]))</f>
        <v>5.4344667247893108E-2</v>
      </c>
      <c r="S113" s="32">
        <f>IF(Tabell2[[#This Row],[Yrkesaktivandel]]&lt;=J$427,J$427,IF(Tabell2[[#This Row],[Yrkesaktivandel]]&gt;=J$428,J$428,Tabell2[[#This Row],[Yrkesaktivandel]]))</f>
        <v>0.7970451171433347</v>
      </c>
      <c r="T113" s="67">
        <f>IF(Tabell2[[#This Row],[Inntekt]]&lt;=K$427,K$427,IF(Tabell2[[#This Row],[Inntekt]]&gt;=K$428,K$428,Tabell2[[#This Row],[Inntekt]]))</f>
        <v>400400</v>
      </c>
      <c r="U113" s="10">
        <f>IF(Tabell2[[#This Row],[NIBR11-T]]&lt;=L$430,100,IF(Tabell2[[#This Row],[NIBR11-T]]&gt;=L$429,0,100*(L$429-Tabell2[[#This Row],[NIBR11-T]])/L$432))</f>
        <v>90</v>
      </c>
      <c r="V113" s="10">
        <f>(M$429-Tabell2[[#This Row],[ReisetidOslo-T]])*100/M$432</f>
        <v>96.32008185823581</v>
      </c>
      <c r="W113" s="10">
        <f>100-(N$429-Tabell2[[#This Row],[Beftettotal-T]])*100/N$432</f>
        <v>100</v>
      </c>
      <c r="X113" s="10">
        <f>100-(O$429-Tabell2[[#This Row],[Befvekst10-T]])*100/O$432</f>
        <v>61.22517200624398</v>
      </c>
      <c r="Y113" s="10">
        <f>100-(P$429-Tabell2[[#This Row],[Kvinneandel-T]])*100/P$432</f>
        <v>60.889760009622343</v>
      </c>
      <c r="Z113" s="10">
        <f>(Q$429-Tabell2[[#This Row],[Eldreandel-T]])*100/Q$432</f>
        <v>59.712457157303007</v>
      </c>
      <c r="AA113" s="10">
        <f>100-(R$429-Tabell2[[#This Row],[Sysselsettingsvekst10-T]])*100/R$432</f>
        <v>56.375396816455755</v>
      </c>
      <c r="AB113" s="10">
        <f>100-(S$429-Tabell2[[#This Row],[Yrkesaktivandel-T]])*100/S$432</f>
        <v>0</v>
      </c>
      <c r="AC113" s="10">
        <f>100-(T$429-Tabell2[[#This Row],[Inntekt-T]])*100/T$432</f>
        <v>45.840275463734308</v>
      </c>
      <c r="AD11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66.128720673437655</v>
      </c>
    </row>
    <row r="114" spans="1:30" x14ac:dyDescent="0.25">
      <c r="A114" s="2" t="s">
        <v>112</v>
      </c>
      <c r="B114" s="2">
        <v>112</v>
      </c>
      <c r="C114">
        <f>'Rådata-K'!N113</f>
        <v>2</v>
      </c>
      <c r="D114" s="30">
        <f>'Rådata-K'!M113</f>
        <v>66.21875</v>
      </c>
      <c r="E114" s="32">
        <f>'Rådata-K'!O113</f>
        <v>408.27047168953919</v>
      </c>
      <c r="F114" s="32">
        <f>'Rådata-K'!P113</f>
        <v>0.19814365348198337</v>
      </c>
      <c r="G114" s="32">
        <f>'Rådata-K'!Q113</f>
        <v>0.12884555451671786</v>
      </c>
      <c r="H114" s="32">
        <f>'Rådata-K'!R113</f>
        <v>0.15442322247451137</v>
      </c>
      <c r="I114" s="32">
        <f>'Rådata-K'!S113</f>
        <v>5.0742433974383161E-2</v>
      </c>
      <c r="J114" s="32">
        <f>'Rådata-K'!T113</f>
        <v>0.78042288370698054</v>
      </c>
      <c r="K114" s="67">
        <f>'Rådata-K'!L113</f>
        <v>439400</v>
      </c>
      <c r="L114" s="18">
        <f>Tabell2[[#This Row],[NIBR11]]</f>
        <v>2</v>
      </c>
      <c r="M114" s="32">
        <f>IF(Tabell2[[#This Row],[ReisetidOslo]]&lt;=D$427,D$427,IF(Tabell2[[#This Row],[ReisetidOslo]]&gt;=D$428,D$428,Tabell2[[#This Row],[ReisetidOslo]]))</f>
        <v>66.21875</v>
      </c>
      <c r="N114" s="32">
        <f>IF(Tabell2[[#This Row],[Beftettotal]]&lt;=E$427,E$427,IF(Tabell2[[#This Row],[Beftettotal]]&gt;=E$428,E$428,Tabell2[[#This Row],[Beftettotal]]))</f>
        <v>135.41854576488009</v>
      </c>
      <c r="O114" s="32">
        <f>IF(Tabell2[[#This Row],[Befvekst10]]&lt;=F$427,F$427,IF(Tabell2[[#This Row],[Befvekst10]]&gt;=F$428,F$428,Tabell2[[#This Row],[Befvekst10]]))</f>
        <v>0.17761328412400704</v>
      </c>
      <c r="P114" s="32">
        <f>IF(Tabell2[[#This Row],[Kvinneandel]]&lt;=G$427,G$427,IF(Tabell2[[#This Row],[Kvinneandel]]&gt;=G$428,G$428,Tabell2[[#This Row],[Kvinneandel]]))</f>
        <v>0.12777681011054584</v>
      </c>
      <c r="Q114" s="32">
        <f>IF(Tabell2[[#This Row],[Eldreandel]]&lt;=H$427,H$427,IF(Tabell2[[#This Row],[Eldreandel]]&gt;=H$428,H$428,Tabell2[[#This Row],[Eldreandel]]))</f>
        <v>0.15442322247451137</v>
      </c>
      <c r="R114" s="32">
        <f>IF(Tabell2[[#This Row],[Sysselsettingsvekst10]]&lt;=I$427,I$427,IF(Tabell2[[#This Row],[Sysselsettingsvekst10]]&gt;=I$428,I$428,Tabell2[[#This Row],[Sysselsettingsvekst10]]))</f>
        <v>5.0742433974383161E-2</v>
      </c>
      <c r="S114" s="32">
        <f>IF(Tabell2[[#This Row],[Yrkesaktivandel]]&lt;=J$427,J$427,IF(Tabell2[[#This Row],[Yrkesaktivandel]]&gt;=J$428,J$428,Tabell2[[#This Row],[Yrkesaktivandel]]))</f>
        <v>0.7970451171433347</v>
      </c>
      <c r="T114" s="67">
        <f>IF(Tabell2[[#This Row],[Inntekt]]&lt;=K$427,K$427,IF(Tabell2[[#This Row],[Inntekt]]&gt;=K$428,K$428,Tabell2[[#This Row],[Inntekt]]))</f>
        <v>439400</v>
      </c>
      <c r="U114" s="10">
        <f>IF(Tabell2[[#This Row],[NIBR11-T]]&lt;=L$430,100,IF(Tabell2[[#This Row],[NIBR11-T]]&gt;=L$429,0,100*(L$429-Tabell2[[#This Row],[NIBR11-T]])/L$432))</f>
        <v>90</v>
      </c>
      <c r="V114" s="10">
        <f>(M$429-Tabell2[[#This Row],[ReisetidOslo-T]])*100/M$432</f>
        <v>95.004022228280803</v>
      </c>
      <c r="W114" s="10">
        <f>100-(N$429-Tabell2[[#This Row],[Beftettotal-T]])*100/N$432</f>
        <v>100</v>
      </c>
      <c r="X114" s="10">
        <f>100-(O$429-Tabell2[[#This Row],[Befvekst10-T]])*100/O$432</f>
        <v>100</v>
      </c>
      <c r="Y114" s="10">
        <f>100-(P$429-Tabell2[[#This Row],[Kvinneandel-T]])*100/P$432</f>
        <v>100</v>
      </c>
      <c r="Z114" s="10">
        <f>(Q$429-Tabell2[[#This Row],[Eldreandel-T]])*100/Q$432</f>
        <v>74.002206179890564</v>
      </c>
      <c r="AA114" s="10">
        <f>100-(R$429-Tabell2[[#This Row],[Sysselsettingsvekst10-T]])*100/R$432</f>
        <v>55.115176629242463</v>
      </c>
      <c r="AB114" s="10">
        <f>100-(S$429-Tabell2[[#This Row],[Yrkesaktivandel-T]])*100/S$432</f>
        <v>0</v>
      </c>
      <c r="AC114" s="10">
        <f>100-(T$429-Tabell2[[#This Row],[Inntekt-T]])*100/T$432</f>
        <v>89.159169165833617</v>
      </c>
      <c r="AD11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80.627947111330215</v>
      </c>
    </row>
    <row r="115" spans="1:30" x14ac:dyDescent="0.25">
      <c r="A115" s="41" t="s">
        <v>867</v>
      </c>
      <c r="B115" s="41">
        <v>113</v>
      </c>
      <c r="C115">
        <f>'Rådata-K'!N114</f>
        <v>4</v>
      </c>
      <c r="D115" s="30">
        <f>'Rådata-K'!M114</f>
        <v>75.40625</v>
      </c>
      <c r="E115" s="32">
        <f>'Rådata-K'!O114</f>
        <v>146.87396390849241</v>
      </c>
      <c r="F115" s="32">
        <f>'Rådata-K'!P114</f>
        <v>8.2752841355470563E-2</v>
      </c>
      <c r="G115" s="32">
        <f>'Rådata-K'!Q114</f>
        <v>0.11730276205678905</v>
      </c>
      <c r="H115" s="32">
        <f>'Rådata-K'!R114</f>
        <v>0.15814508457085732</v>
      </c>
      <c r="I115" s="32">
        <f>'Rådata-K'!S114</f>
        <v>6.8033409263477562E-2</v>
      </c>
      <c r="J115" s="32">
        <f>'Rådata-K'!T114</f>
        <v>0.84069343573475808</v>
      </c>
      <c r="K115" s="67">
        <f>'Rådata-K'!L114</f>
        <v>417779.06522125466</v>
      </c>
      <c r="L115" s="18">
        <f>Tabell2[[#This Row],[NIBR11]]</f>
        <v>4</v>
      </c>
      <c r="M115" s="32">
        <f>IF(Tabell2[[#This Row],[ReisetidOslo]]&lt;=D$427,D$427,IF(Tabell2[[#This Row],[ReisetidOslo]]&gt;=D$428,D$428,Tabell2[[#This Row],[ReisetidOslo]]))</f>
        <v>75.40625</v>
      </c>
      <c r="N115" s="32">
        <f>IF(Tabell2[[#This Row],[Beftettotal]]&lt;=E$427,E$427,IF(Tabell2[[#This Row],[Beftettotal]]&gt;=E$428,E$428,Tabell2[[#This Row],[Beftettotal]]))</f>
        <v>135.41854576488009</v>
      </c>
      <c r="O115" s="32">
        <f>IF(Tabell2[[#This Row],[Befvekst10]]&lt;=F$427,F$427,IF(Tabell2[[#This Row],[Befvekst10]]&gt;=F$428,F$428,Tabell2[[#This Row],[Befvekst10]]))</f>
        <v>8.2752841355470563E-2</v>
      </c>
      <c r="P115" s="32">
        <f>IF(Tabell2[[#This Row],[Kvinneandel]]&lt;=G$427,G$427,IF(Tabell2[[#This Row],[Kvinneandel]]&gt;=G$428,G$428,Tabell2[[#This Row],[Kvinneandel]]))</f>
        <v>0.11730276205678905</v>
      </c>
      <c r="Q115" s="32">
        <f>IF(Tabell2[[#This Row],[Eldreandel]]&lt;=H$427,H$427,IF(Tabell2[[#This Row],[Eldreandel]]&gt;=H$428,H$428,Tabell2[[#This Row],[Eldreandel]]))</f>
        <v>0.15814508457085732</v>
      </c>
      <c r="R115" s="32">
        <f>IF(Tabell2[[#This Row],[Sysselsettingsvekst10]]&lt;=I$427,I$427,IF(Tabell2[[#This Row],[Sysselsettingsvekst10]]&gt;=I$428,I$428,Tabell2[[#This Row],[Sysselsettingsvekst10]]))</f>
        <v>6.8033409263477562E-2</v>
      </c>
      <c r="S115" s="32">
        <f>IF(Tabell2[[#This Row],[Yrkesaktivandel]]&lt;=J$427,J$427,IF(Tabell2[[#This Row],[Yrkesaktivandel]]&gt;=J$428,J$428,Tabell2[[#This Row],[Yrkesaktivandel]]))</f>
        <v>0.84069343573475808</v>
      </c>
      <c r="T115" s="67">
        <f>IF(Tabell2[[#This Row],[Inntekt]]&lt;=K$427,K$427,IF(Tabell2[[#This Row],[Inntekt]]&gt;=K$428,K$428,Tabell2[[#This Row],[Inntekt]]))</f>
        <v>417779.06522125466</v>
      </c>
      <c r="U115" s="10">
        <f>IF(Tabell2[[#This Row],[NIBR11-T]]&lt;=L$430,100,IF(Tabell2[[#This Row],[NIBR11-T]]&gt;=L$429,0,100*(L$429-Tabell2[[#This Row],[NIBR11-T]])/L$432))</f>
        <v>70</v>
      </c>
      <c r="V115" s="10">
        <f>(M$429-Tabell2[[#This Row],[ReisetidOslo-T]])*100/M$432</f>
        <v>91.045745694196214</v>
      </c>
      <c r="W115" s="10">
        <f>100-(N$429-Tabell2[[#This Row],[Beftettotal-T]])*100/N$432</f>
        <v>100</v>
      </c>
      <c r="X115" s="10">
        <f>100-(O$429-Tabell2[[#This Row],[Befvekst10-T]])*100/O$432</f>
        <v>59.136511253533158</v>
      </c>
      <c r="Y115" s="10">
        <f>100-(P$429-Tabell2[[#This Row],[Kvinneandel-T]])*100/P$432</f>
        <v>72.3348634339076</v>
      </c>
      <c r="Z115" s="10">
        <f>(Q$429-Tabell2[[#This Row],[Eldreandel-T]])*100/Q$432</f>
        <v>69.987760056237818</v>
      </c>
      <c r="AA115" s="10">
        <f>100-(R$429-Tabell2[[#This Row],[Sysselsettingsvekst10-T]])*100/R$432</f>
        <v>61.164322939717486</v>
      </c>
      <c r="AB115" s="10">
        <f>100-(S$429-Tabell2[[#This Row],[Yrkesaktivandel-T]])*100/S$432</f>
        <v>33.85555030705801</v>
      </c>
      <c r="AC115" s="10">
        <f>100-(T$429-Tabell2[[#This Row],[Inntekt-T]])*100/T$432</f>
        <v>65.143913385821008</v>
      </c>
      <c r="AD11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68.064386657893181</v>
      </c>
    </row>
    <row r="116" spans="1:30" x14ac:dyDescent="0.25">
      <c r="A116" s="2" t="s">
        <v>113</v>
      </c>
      <c r="B116" s="2">
        <v>114</v>
      </c>
      <c r="C116">
        <f>'Rådata-K'!N115</f>
        <v>2</v>
      </c>
      <c r="D116" s="30">
        <f>'Rådata-K'!M115</f>
        <v>49.796875</v>
      </c>
      <c r="E116" s="32">
        <f>'Rådata-K'!O115</f>
        <v>115.26334026334027</v>
      </c>
      <c r="F116" s="32">
        <f>'Rådata-K'!P115</f>
        <v>2.8920507268790585E-2</v>
      </c>
      <c r="G116" s="32">
        <f>'Rådata-K'!Q115</f>
        <v>0.10807154667067488</v>
      </c>
      <c r="H116" s="32">
        <f>'Rådata-K'!R115</f>
        <v>0.1668420261536149</v>
      </c>
      <c r="I116" s="32">
        <f>'Rådata-K'!S115</f>
        <v>-3.7491919844860999E-2</v>
      </c>
      <c r="J116" s="32">
        <f>'Rådata-K'!T115</f>
        <v>0.8117977528089888</v>
      </c>
      <c r="K116" s="67">
        <f>'Rådata-K'!L115</f>
        <v>408800</v>
      </c>
      <c r="L116" s="18">
        <f>Tabell2[[#This Row],[NIBR11]]</f>
        <v>2</v>
      </c>
      <c r="M116" s="32">
        <f>IF(Tabell2[[#This Row],[ReisetidOslo]]&lt;=D$427,D$427,IF(Tabell2[[#This Row],[ReisetidOslo]]&gt;=D$428,D$428,Tabell2[[#This Row],[ReisetidOslo]]))</f>
        <v>54.622656249999999</v>
      </c>
      <c r="N116" s="32">
        <f>IF(Tabell2[[#This Row],[Beftettotal]]&lt;=E$427,E$427,IF(Tabell2[[#This Row],[Beftettotal]]&gt;=E$428,E$428,Tabell2[[#This Row],[Beftettotal]]))</f>
        <v>115.26334026334027</v>
      </c>
      <c r="O116" s="32">
        <f>IF(Tabell2[[#This Row],[Befvekst10]]&lt;=F$427,F$427,IF(Tabell2[[#This Row],[Befvekst10]]&gt;=F$428,F$428,Tabell2[[#This Row],[Befvekst10]]))</f>
        <v>2.8920507268790585E-2</v>
      </c>
      <c r="P116" s="32">
        <f>IF(Tabell2[[#This Row],[Kvinneandel]]&lt;=G$427,G$427,IF(Tabell2[[#This Row],[Kvinneandel]]&gt;=G$428,G$428,Tabell2[[#This Row],[Kvinneandel]]))</f>
        <v>0.10807154667067488</v>
      </c>
      <c r="Q116" s="32">
        <f>IF(Tabell2[[#This Row],[Eldreandel]]&lt;=H$427,H$427,IF(Tabell2[[#This Row],[Eldreandel]]&gt;=H$428,H$428,Tabell2[[#This Row],[Eldreandel]]))</f>
        <v>0.1668420261536149</v>
      </c>
      <c r="R116" s="32">
        <f>IF(Tabell2[[#This Row],[Sysselsettingsvekst10]]&lt;=I$427,I$427,IF(Tabell2[[#This Row],[Sysselsettingsvekst10]]&gt;=I$428,I$428,Tabell2[[#This Row],[Sysselsettingsvekst10]]))</f>
        <v>-3.7491919844860999E-2</v>
      </c>
      <c r="S116" s="32">
        <f>IF(Tabell2[[#This Row],[Yrkesaktivandel]]&lt;=J$427,J$427,IF(Tabell2[[#This Row],[Yrkesaktivandel]]&gt;=J$428,J$428,Tabell2[[#This Row],[Yrkesaktivandel]]))</f>
        <v>0.8117977528089888</v>
      </c>
      <c r="T116" s="67">
        <f>IF(Tabell2[[#This Row],[Inntekt]]&lt;=K$427,K$427,IF(Tabell2[[#This Row],[Inntekt]]&gt;=K$428,K$428,Tabell2[[#This Row],[Inntekt]]))</f>
        <v>408800</v>
      </c>
      <c r="U116" s="10">
        <f>IF(Tabell2[[#This Row],[NIBR11-T]]&lt;=L$430,100,IF(Tabell2[[#This Row],[NIBR11-T]]&gt;=L$429,0,100*(L$429-Tabell2[[#This Row],[NIBR11-T]])/L$432))</f>
        <v>90</v>
      </c>
      <c r="V116" s="10">
        <f>(M$429-Tabell2[[#This Row],[ReisetidOslo-T]])*100/M$432</f>
        <v>100</v>
      </c>
      <c r="W116" s="10">
        <f>100-(N$429-Tabell2[[#This Row],[Beftettotal-T]])*100/N$432</f>
        <v>84.978207204283137</v>
      </c>
      <c r="X116" s="10">
        <f>100-(O$429-Tabell2[[#This Row],[Befvekst10-T]])*100/O$432</f>
        <v>35.946898028612424</v>
      </c>
      <c r="Y116" s="10">
        <f>100-(P$429-Tabell2[[#This Row],[Kvinneandel-T]])*100/P$432</f>
        <v>47.95242476099525</v>
      </c>
      <c r="Z116" s="10">
        <f>(Q$429-Tabell2[[#This Row],[Eldreandel-T]])*100/Q$432</f>
        <v>60.607132155270513</v>
      </c>
      <c r="AA116" s="10">
        <f>100-(R$429-Tabell2[[#This Row],[Sysselsettingsvekst10-T]])*100/R$432</f>
        <v>24.246905352522433</v>
      </c>
      <c r="AB116" s="10">
        <f>100-(S$429-Tabell2[[#This Row],[Yrkesaktivandel-T]])*100/S$432</f>
        <v>11.442791270277965</v>
      </c>
      <c r="AC116" s="10">
        <f>100-(T$429-Tabell2[[#This Row],[Inntekt-T]])*100/T$432</f>
        <v>55.170498722648006</v>
      </c>
      <c r="AD11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58.201197706508928</v>
      </c>
    </row>
    <row r="117" spans="1:30" x14ac:dyDescent="0.25">
      <c r="A117" s="52" t="s">
        <v>874</v>
      </c>
      <c r="B117" s="52">
        <v>115</v>
      </c>
      <c r="C117">
        <f>'Rådata-K'!N116</f>
        <v>4</v>
      </c>
      <c r="D117" s="30">
        <f>'Rådata-K'!M116</f>
        <v>83.0625</v>
      </c>
      <c r="E117" s="32">
        <f>'Rådata-K'!O116</f>
        <v>57.274136403897259</v>
      </c>
      <c r="F117" s="32">
        <f>'Rådata-K'!P116</f>
        <v>6.3333637858578484E-2</v>
      </c>
      <c r="G117" s="32">
        <f>'Rådata-K'!Q116</f>
        <v>0.10892024829778552</v>
      </c>
      <c r="H117" s="32">
        <f>'Rådata-K'!R116</f>
        <v>0.1725411860729858</v>
      </c>
      <c r="I117" s="32">
        <f>'Rådata-K'!S116</f>
        <v>1.7637253320428092E-2</v>
      </c>
      <c r="J117" s="32">
        <f>'Rådata-K'!T116</f>
        <v>0.80934767989240086</v>
      </c>
      <c r="K117" s="67">
        <f>'Rådata-K'!L116</f>
        <v>402532.3372465315</v>
      </c>
      <c r="L117" s="18">
        <f>Tabell2[[#This Row],[NIBR11]]</f>
        <v>4</v>
      </c>
      <c r="M117" s="32">
        <f>IF(Tabell2[[#This Row],[ReisetidOslo]]&lt;=D$427,D$427,IF(Tabell2[[#This Row],[ReisetidOslo]]&gt;=D$428,D$428,Tabell2[[#This Row],[ReisetidOslo]]))</f>
        <v>83.0625</v>
      </c>
      <c r="N117" s="32">
        <f>IF(Tabell2[[#This Row],[Beftettotal]]&lt;=E$427,E$427,IF(Tabell2[[#This Row],[Beftettotal]]&gt;=E$428,E$428,Tabell2[[#This Row],[Beftettotal]]))</f>
        <v>57.274136403897259</v>
      </c>
      <c r="O117" s="32">
        <f>IF(Tabell2[[#This Row],[Befvekst10]]&lt;=F$427,F$427,IF(Tabell2[[#This Row],[Befvekst10]]&gt;=F$428,F$428,Tabell2[[#This Row],[Befvekst10]]))</f>
        <v>6.3333637858578484E-2</v>
      </c>
      <c r="P117" s="32">
        <f>IF(Tabell2[[#This Row],[Kvinneandel]]&lt;=G$427,G$427,IF(Tabell2[[#This Row],[Kvinneandel]]&gt;=G$428,G$428,Tabell2[[#This Row],[Kvinneandel]]))</f>
        <v>0.10892024829778552</v>
      </c>
      <c r="Q117" s="32">
        <f>IF(Tabell2[[#This Row],[Eldreandel]]&lt;=H$427,H$427,IF(Tabell2[[#This Row],[Eldreandel]]&gt;=H$428,H$428,Tabell2[[#This Row],[Eldreandel]]))</f>
        <v>0.1725411860729858</v>
      </c>
      <c r="R117" s="32">
        <f>IF(Tabell2[[#This Row],[Sysselsettingsvekst10]]&lt;=I$427,I$427,IF(Tabell2[[#This Row],[Sysselsettingsvekst10]]&gt;=I$428,I$428,Tabell2[[#This Row],[Sysselsettingsvekst10]]))</f>
        <v>1.7637253320428092E-2</v>
      </c>
      <c r="S117" s="32">
        <f>IF(Tabell2[[#This Row],[Yrkesaktivandel]]&lt;=J$427,J$427,IF(Tabell2[[#This Row],[Yrkesaktivandel]]&gt;=J$428,J$428,Tabell2[[#This Row],[Yrkesaktivandel]]))</f>
        <v>0.80934767989240086</v>
      </c>
      <c r="T117" s="67">
        <f>IF(Tabell2[[#This Row],[Inntekt]]&lt;=K$427,K$427,IF(Tabell2[[#This Row],[Inntekt]]&gt;=K$428,K$428,Tabell2[[#This Row],[Inntekt]]))</f>
        <v>402532.3372465315</v>
      </c>
      <c r="U117" s="10">
        <f>IF(Tabell2[[#This Row],[NIBR11-T]]&lt;=L$430,100,IF(Tabell2[[#This Row],[NIBR11-T]]&gt;=L$429,0,100*(L$429-Tabell2[[#This Row],[NIBR11-T]])/L$432))</f>
        <v>70</v>
      </c>
      <c r="V117" s="10">
        <f>(M$429-Tabell2[[#This Row],[ReisetidOslo-T]])*100/M$432</f>
        <v>87.747181915792382</v>
      </c>
      <c r="W117" s="10">
        <f>100-(N$429-Tabell2[[#This Row],[Beftettotal-T]])*100/N$432</f>
        <v>41.75851367654478</v>
      </c>
      <c r="X117" s="10">
        <f>100-(O$429-Tabell2[[#This Row],[Befvekst10-T]])*100/O$432</f>
        <v>50.771207651726641</v>
      </c>
      <c r="Y117" s="10">
        <f>100-(P$429-Tabell2[[#This Row],[Kvinneandel-T]])*100/P$432</f>
        <v>50.194103078430416</v>
      </c>
      <c r="Z117" s="10">
        <f>(Q$429-Tabell2[[#This Row],[Eldreandel-T]])*100/Q$432</f>
        <v>54.459948338638057</v>
      </c>
      <c r="AA117" s="10">
        <f>100-(R$429-Tabell2[[#This Row],[Sysselsettingsvekst10-T]])*100/R$432</f>
        <v>43.533523306495177</v>
      </c>
      <c r="AB117" s="10">
        <f>100-(S$429-Tabell2[[#This Row],[Yrkesaktivandel-T]])*100/S$432</f>
        <v>9.5424072564066478</v>
      </c>
      <c r="AC117" s="10">
        <f>100-(T$429-Tabell2[[#This Row],[Inntekt-T]])*100/T$432</f>
        <v>48.208749579619578</v>
      </c>
      <c r="AD11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52.465981674684613</v>
      </c>
    </row>
    <row r="118" spans="1:30" x14ac:dyDescent="0.25">
      <c r="A118" s="2" t="s">
        <v>114</v>
      </c>
      <c r="B118" s="2">
        <v>116</v>
      </c>
      <c r="C118">
        <f>'Rådata-K'!N117</f>
        <v>2</v>
      </c>
      <c r="D118" s="30">
        <f>'Rådata-K'!M117</f>
        <v>41.8046875</v>
      </c>
      <c r="E118" s="32">
        <f>'Rådata-K'!O117</f>
        <v>53.246607603454073</v>
      </c>
      <c r="F118" s="32">
        <f>'Rådata-K'!P117</f>
        <v>0.21323623355053023</v>
      </c>
      <c r="G118" s="32">
        <f>'Rådata-K'!Q117</f>
        <v>0.11341617523167649</v>
      </c>
      <c r="H118" s="32">
        <f>'Rådata-K'!R117</f>
        <v>0.14764111204717775</v>
      </c>
      <c r="I118" s="32">
        <f>'Rådata-K'!S117</f>
        <v>0.14948199309324117</v>
      </c>
      <c r="J118" s="32">
        <f>'Rådata-K'!T117</f>
        <v>0.84049192364170333</v>
      </c>
      <c r="K118" s="67">
        <f>'Rådata-K'!L117</f>
        <v>435100</v>
      </c>
      <c r="L118" s="18">
        <f>Tabell2[[#This Row],[NIBR11]]</f>
        <v>2</v>
      </c>
      <c r="M118" s="32">
        <f>IF(Tabell2[[#This Row],[ReisetidOslo]]&lt;=D$427,D$427,IF(Tabell2[[#This Row],[ReisetidOslo]]&gt;=D$428,D$428,Tabell2[[#This Row],[ReisetidOslo]]))</f>
        <v>54.622656249999999</v>
      </c>
      <c r="N118" s="32">
        <f>IF(Tabell2[[#This Row],[Beftettotal]]&lt;=E$427,E$427,IF(Tabell2[[#This Row],[Beftettotal]]&gt;=E$428,E$428,Tabell2[[#This Row],[Beftettotal]]))</f>
        <v>53.246607603454073</v>
      </c>
      <c r="O118" s="32">
        <f>IF(Tabell2[[#This Row],[Befvekst10]]&lt;=F$427,F$427,IF(Tabell2[[#This Row],[Befvekst10]]&gt;=F$428,F$428,Tabell2[[#This Row],[Befvekst10]]))</f>
        <v>0.17761328412400704</v>
      </c>
      <c r="P118" s="32">
        <f>IF(Tabell2[[#This Row],[Kvinneandel]]&lt;=G$427,G$427,IF(Tabell2[[#This Row],[Kvinneandel]]&gt;=G$428,G$428,Tabell2[[#This Row],[Kvinneandel]]))</f>
        <v>0.11341617523167649</v>
      </c>
      <c r="Q118" s="32">
        <f>IF(Tabell2[[#This Row],[Eldreandel]]&lt;=H$427,H$427,IF(Tabell2[[#This Row],[Eldreandel]]&gt;=H$428,H$428,Tabell2[[#This Row],[Eldreandel]]))</f>
        <v>0.14764111204717775</v>
      </c>
      <c r="R118" s="32">
        <f>IF(Tabell2[[#This Row],[Sysselsettingsvekst10]]&lt;=I$427,I$427,IF(Tabell2[[#This Row],[Sysselsettingsvekst10]]&gt;=I$428,I$428,Tabell2[[#This Row],[Sysselsettingsvekst10]]))</f>
        <v>0.14948199309324117</v>
      </c>
      <c r="S118" s="32">
        <f>IF(Tabell2[[#This Row],[Yrkesaktivandel]]&lt;=J$427,J$427,IF(Tabell2[[#This Row],[Yrkesaktivandel]]&gt;=J$428,J$428,Tabell2[[#This Row],[Yrkesaktivandel]]))</f>
        <v>0.84049192364170333</v>
      </c>
      <c r="T118" s="67">
        <f>IF(Tabell2[[#This Row],[Inntekt]]&lt;=K$427,K$427,IF(Tabell2[[#This Row],[Inntekt]]&gt;=K$428,K$428,Tabell2[[#This Row],[Inntekt]]))</f>
        <v>435100</v>
      </c>
      <c r="U118" s="10">
        <f>IF(Tabell2[[#This Row],[NIBR11-T]]&lt;=L$430,100,IF(Tabell2[[#This Row],[NIBR11-T]]&gt;=L$429,0,100*(L$429-Tabell2[[#This Row],[NIBR11-T]])/L$432))</f>
        <v>90</v>
      </c>
      <c r="V118" s="10">
        <f>(M$429-Tabell2[[#This Row],[ReisetidOslo-T]])*100/M$432</f>
        <v>100</v>
      </c>
      <c r="W118" s="10">
        <f>100-(N$429-Tabell2[[#This Row],[Beftettotal-T]])*100/N$432</f>
        <v>38.756772855077223</v>
      </c>
      <c r="X118" s="10">
        <f>100-(O$429-Tabell2[[#This Row],[Befvekst10-T]])*100/O$432</f>
        <v>100</v>
      </c>
      <c r="Y118" s="10">
        <f>100-(P$429-Tabell2[[#This Row],[Kvinneandel-T]])*100/P$432</f>
        <v>62.069209243582542</v>
      </c>
      <c r="Z118" s="10">
        <f>(Q$429-Tabell2[[#This Row],[Eldreandel-T]])*100/Q$432</f>
        <v>81.317473702006609</v>
      </c>
      <c r="AA118" s="10">
        <f>100-(R$429-Tabell2[[#This Row],[Sysselsettingsvekst10-T]])*100/R$432</f>
        <v>89.658632377426159</v>
      </c>
      <c r="AB118" s="10">
        <f>100-(S$429-Tabell2[[#This Row],[Yrkesaktivandel-T]])*100/S$432</f>
        <v>33.699248689399909</v>
      </c>
      <c r="AC118" s="10">
        <f>100-(T$429-Tabell2[[#This Row],[Inntekt-T]])*100/T$432</f>
        <v>84.382983449961131</v>
      </c>
      <c r="AD11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79.81909788446589</v>
      </c>
    </row>
    <row r="119" spans="1:30" x14ac:dyDescent="0.25">
      <c r="A119" s="52" t="s">
        <v>875</v>
      </c>
      <c r="B119" s="52">
        <v>117</v>
      </c>
      <c r="C119">
        <f>'Rådata-K'!N118</f>
        <v>2</v>
      </c>
      <c r="D119" s="30">
        <f>'Rådata-K'!M118</f>
        <v>53</v>
      </c>
      <c r="E119" s="32">
        <f>'Rådata-K'!O118</f>
        <v>56.332771490488803</v>
      </c>
      <c r="F119" s="32">
        <f>'Rådata-K'!P118</f>
        <v>9.45029239766082E-2</v>
      </c>
      <c r="G119" s="32">
        <f>'Rådata-K'!Q118</f>
        <v>0.11419819049654485</v>
      </c>
      <c r="H119" s="32">
        <f>'Rådata-K'!R118</f>
        <v>0.16869701503170192</v>
      </c>
      <c r="I119" s="32">
        <f>'Rådata-K'!S118</f>
        <v>-3.0866721177432499E-2</v>
      </c>
      <c r="J119" s="32">
        <f>'Rådata-K'!T118</f>
        <v>0.81739773287333661</v>
      </c>
      <c r="K119" s="67">
        <f>'Rådata-K'!L118</f>
        <v>411792.06730769231</v>
      </c>
      <c r="L119" s="18">
        <f>Tabell2[[#This Row],[NIBR11]]</f>
        <v>2</v>
      </c>
      <c r="M119" s="32">
        <f>IF(Tabell2[[#This Row],[ReisetidOslo]]&lt;=D$427,D$427,IF(Tabell2[[#This Row],[ReisetidOslo]]&gt;=D$428,D$428,Tabell2[[#This Row],[ReisetidOslo]]))</f>
        <v>54.622656249999999</v>
      </c>
      <c r="N119" s="32">
        <f>IF(Tabell2[[#This Row],[Beftettotal]]&lt;=E$427,E$427,IF(Tabell2[[#This Row],[Beftettotal]]&gt;=E$428,E$428,Tabell2[[#This Row],[Beftettotal]]))</f>
        <v>56.332771490488803</v>
      </c>
      <c r="O119" s="32">
        <f>IF(Tabell2[[#This Row],[Befvekst10]]&lt;=F$427,F$427,IF(Tabell2[[#This Row],[Befvekst10]]&gt;=F$428,F$428,Tabell2[[#This Row],[Befvekst10]]))</f>
        <v>9.45029239766082E-2</v>
      </c>
      <c r="P119" s="32">
        <f>IF(Tabell2[[#This Row],[Kvinneandel]]&lt;=G$427,G$427,IF(Tabell2[[#This Row],[Kvinneandel]]&gt;=G$428,G$428,Tabell2[[#This Row],[Kvinneandel]]))</f>
        <v>0.11419819049654485</v>
      </c>
      <c r="Q119" s="32">
        <f>IF(Tabell2[[#This Row],[Eldreandel]]&lt;=H$427,H$427,IF(Tabell2[[#This Row],[Eldreandel]]&gt;=H$428,H$428,Tabell2[[#This Row],[Eldreandel]]))</f>
        <v>0.16869701503170192</v>
      </c>
      <c r="R119" s="32">
        <f>IF(Tabell2[[#This Row],[Sysselsettingsvekst10]]&lt;=I$427,I$427,IF(Tabell2[[#This Row],[Sysselsettingsvekst10]]&gt;=I$428,I$428,Tabell2[[#This Row],[Sysselsettingsvekst10]]))</f>
        <v>-3.0866721177432499E-2</v>
      </c>
      <c r="S119" s="32">
        <f>IF(Tabell2[[#This Row],[Yrkesaktivandel]]&lt;=J$427,J$427,IF(Tabell2[[#This Row],[Yrkesaktivandel]]&gt;=J$428,J$428,Tabell2[[#This Row],[Yrkesaktivandel]]))</f>
        <v>0.81739773287333661</v>
      </c>
      <c r="T119" s="67">
        <f>IF(Tabell2[[#This Row],[Inntekt]]&lt;=K$427,K$427,IF(Tabell2[[#This Row],[Inntekt]]&gt;=K$428,K$428,Tabell2[[#This Row],[Inntekt]]))</f>
        <v>411792.06730769231</v>
      </c>
      <c r="U119" s="10">
        <f>IF(Tabell2[[#This Row],[NIBR11-T]]&lt;=L$430,100,IF(Tabell2[[#This Row],[NIBR11-T]]&gt;=L$429,0,100*(L$429-Tabell2[[#This Row],[NIBR11-T]])/L$432))</f>
        <v>90</v>
      </c>
      <c r="V119" s="10">
        <f>(M$429-Tabell2[[#This Row],[ReisetidOslo-T]])*100/M$432</f>
        <v>100</v>
      </c>
      <c r="W119" s="10">
        <f>100-(N$429-Tabell2[[#This Row],[Beftettotal-T]])*100/N$432</f>
        <v>41.056908888972686</v>
      </c>
      <c r="X119" s="10">
        <f>100-(O$429-Tabell2[[#This Row],[Befvekst10-T]])*100/O$432</f>
        <v>64.198150804705165</v>
      </c>
      <c r="Y119" s="10">
        <f>100-(P$429-Tabell2[[#This Row],[Kvinneandel-T]])*100/P$432</f>
        <v>64.134748659509924</v>
      </c>
      <c r="Z119" s="10">
        <f>(Q$429-Tabell2[[#This Row],[Eldreandel-T]])*100/Q$432</f>
        <v>58.606318391008138</v>
      </c>
      <c r="AA119" s="10">
        <f>100-(R$429-Tabell2[[#This Row],[Sysselsettingsvekst10-T]])*100/R$432</f>
        <v>26.564692256105374</v>
      </c>
      <c r="AB119" s="10">
        <f>100-(S$429-Tabell2[[#This Row],[Yrkesaktivandel-T]])*100/S$432</f>
        <v>15.786381422323416</v>
      </c>
      <c r="AC119" s="10">
        <f>100-(T$429-Tabell2[[#This Row],[Inntekt-T]])*100/T$432</f>
        <v>58.493910149608254</v>
      </c>
      <c r="AD11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61.166872785167911</v>
      </c>
    </row>
    <row r="120" spans="1:30" x14ac:dyDescent="0.25">
      <c r="A120" s="2" t="s">
        <v>115</v>
      </c>
      <c r="B120" s="2">
        <v>118</v>
      </c>
      <c r="C120">
        <f>'Rådata-K'!N119</f>
        <v>2</v>
      </c>
      <c r="D120" s="30">
        <f>'Rådata-K'!M119</f>
        <v>59.8828125</v>
      </c>
      <c r="E120" s="32">
        <f>'Rådata-K'!O119</f>
        <v>42.223804860678356</v>
      </c>
      <c r="F120" s="32">
        <f>'Rådata-K'!P119</f>
        <v>0.14000721067179422</v>
      </c>
      <c r="G120" s="32">
        <f>'Rådata-K'!Q119</f>
        <v>0.1204933586337761</v>
      </c>
      <c r="H120" s="32">
        <f>'Rådata-K'!R119</f>
        <v>0.13166772085178158</v>
      </c>
      <c r="I120" s="32">
        <f>'Rådata-K'!S119</f>
        <v>0.13523006673691595</v>
      </c>
      <c r="J120" s="32">
        <f>'Rådata-K'!T119</f>
        <v>0.86116591928251118</v>
      </c>
      <c r="K120" s="67">
        <f>'Rådata-K'!L119</f>
        <v>416700</v>
      </c>
      <c r="L120" s="18">
        <f>Tabell2[[#This Row],[NIBR11]]</f>
        <v>2</v>
      </c>
      <c r="M120" s="32">
        <f>IF(Tabell2[[#This Row],[ReisetidOslo]]&lt;=D$427,D$427,IF(Tabell2[[#This Row],[ReisetidOslo]]&gt;=D$428,D$428,Tabell2[[#This Row],[ReisetidOslo]]))</f>
        <v>59.8828125</v>
      </c>
      <c r="N120" s="32">
        <f>IF(Tabell2[[#This Row],[Beftettotal]]&lt;=E$427,E$427,IF(Tabell2[[#This Row],[Beftettotal]]&gt;=E$428,E$428,Tabell2[[#This Row],[Beftettotal]]))</f>
        <v>42.223804860678356</v>
      </c>
      <c r="O120" s="32">
        <f>IF(Tabell2[[#This Row],[Befvekst10]]&lt;=F$427,F$427,IF(Tabell2[[#This Row],[Befvekst10]]&gt;=F$428,F$428,Tabell2[[#This Row],[Befvekst10]]))</f>
        <v>0.14000721067179422</v>
      </c>
      <c r="P120" s="32">
        <f>IF(Tabell2[[#This Row],[Kvinneandel]]&lt;=G$427,G$427,IF(Tabell2[[#This Row],[Kvinneandel]]&gt;=G$428,G$428,Tabell2[[#This Row],[Kvinneandel]]))</f>
        <v>0.1204933586337761</v>
      </c>
      <c r="Q120" s="32">
        <f>IF(Tabell2[[#This Row],[Eldreandel]]&lt;=H$427,H$427,IF(Tabell2[[#This Row],[Eldreandel]]&gt;=H$428,H$428,Tabell2[[#This Row],[Eldreandel]]))</f>
        <v>0.13166772085178158</v>
      </c>
      <c r="R120" s="32">
        <f>IF(Tabell2[[#This Row],[Sysselsettingsvekst10]]&lt;=I$427,I$427,IF(Tabell2[[#This Row],[Sysselsettingsvekst10]]&gt;=I$428,I$428,Tabell2[[#This Row],[Sysselsettingsvekst10]]))</f>
        <v>0.13523006673691595</v>
      </c>
      <c r="S120" s="32">
        <f>IF(Tabell2[[#This Row],[Yrkesaktivandel]]&lt;=J$427,J$427,IF(Tabell2[[#This Row],[Yrkesaktivandel]]&gt;=J$428,J$428,Tabell2[[#This Row],[Yrkesaktivandel]]))</f>
        <v>0.86116591928251118</v>
      </c>
      <c r="T120" s="67">
        <f>IF(Tabell2[[#This Row],[Inntekt]]&lt;=K$427,K$427,IF(Tabell2[[#This Row],[Inntekt]]&gt;=K$428,K$428,Tabell2[[#This Row],[Inntekt]]))</f>
        <v>416700</v>
      </c>
      <c r="U120" s="10">
        <f>IF(Tabell2[[#This Row],[NIBR11-T]]&lt;=L$430,100,IF(Tabell2[[#This Row],[NIBR11-T]]&gt;=L$429,0,100*(L$429-Tabell2[[#This Row],[NIBR11-T]])/L$432))</f>
        <v>90</v>
      </c>
      <c r="V120" s="10">
        <f>(M$429-Tabell2[[#This Row],[ReisetidOslo-T]])*100/M$432</f>
        <v>97.733752048980307</v>
      </c>
      <c r="W120" s="10">
        <f>100-(N$429-Tabell2[[#This Row],[Beftettotal-T]])*100/N$432</f>
        <v>30.541413363089603</v>
      </c>
      <c r="X120" s="10">
        <f>100-(O$429-Tabell2[[#This Row],[Befvekst10-T]])*100/O$432</f>
        <v>83.800251037590513</v>
      </c>
      <c r="Y120" s="10">
        <f>100-(P$429-Tabell2[[#This Row],[Kvinneandel-T]])*100/P$432</f>
        <v>80.762196359690179</v>
      </c>
      <c r="Z120" s="10">
        <f>(Q$429-Tabell2[[#This Row],[Eldreandel-T]])*100/Q$432</f>
        <v>98.546569435806887</v>
      </c>
      <c r="AA120" s="10">
        <f>100-(R$429-Tabell2[[#This Row],[Sysselsettingsvekst10-T]])*100/R$432</f>
        <v>84.672679515073668</v>
      </c>
      <c r="AB120" s="10">
        <f>100-(S$429-Tabell2[[#This Row],[Yrkesaktivandel-T]])*100/S$432</f>
        <v>49.734906466210582</v>
      </c>
      <c r="AC120" s="10">
        <f>100-(T$429-Tabell2[[#This Row],[Inntekt-T]])*100/T$432</f>
        <v>63.945351549483505</v>
      </c>
      <c r="AD12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76.388298791576716</v>
      </c>
    </row>
    <row r="121" spans="1:30" x14ac:dyDescent="0.25">
      <c r="A121" s="52" t="s">
        <v>876</v>
      </c>
      <c r="B121" s="52">
        <v>119</v>
      </c>
      <c r="C121">
        <f>'Rådata-K'!N120</f>
        <v>2</v>
      </c>
      <c r="D121" s="30">
        <f>'Rådata-K'!M120</f>
        <v>72</v>
      </c>
      <c r="E121" s="32">
        <f>'Rådata-K'!O120</f>
        <v>266.86674669867944</v>
      </c>
      <c r="F121" s="32">
        <f>'Rådata-K'!P120</f>
        <v>7.5731913864021339E-2</v>
      </c>
      <c r="G121" s="32">
        <f>'Rådata-K'!Q120</f>
        <v>0.10560053981106612</v>
      </c>
      <c r="H121" s="32">
        <f>'Rådata-K'!R120</f>
        <v>0.17457639826060878</v>
      </c>
      <c r="I121" s="32">
        <f>'Rådata-K'!S120</f>
        <v>8.7512719872074429E-2</v>
      </c>
      <c r="J121" s="32">
        <f>'Rådata-K'!T120</f>
        <v>0.82437632696390661</v>
      </c>
      <c r="K121" s="67">
        <f>'Rådata-K'!L120</f>
        <v>453879.50508506352</v>
      </c>
      <c r="L121" s="18">
        <f>Tabell2[[#This Row],[NIBR11]]</f>
        <v>2</v>
      </c>
      <c r="M121" s="32">
        <f>IF(Tabell2[[#This Row],[ReisetidOslo]]&lt;=D$427,D$427,IF(Tabell2[[#This Row],[ReisetidOslo]]&gt;=D$428,D$428,Tabell2[[#This Row],[ReisetidOslo]]))</f>
        <v>72</v>
      </c>
      <c r="N121" s="32">
        <f>IF(Tabell2[[#This Row],[Beftettotal]]&lt;=E$427,E$427,IF(Tabell2[[#This Row],[Beftettotal]]&gt;=E$428,E$428,Tabell2[[#This Row],[Beftettotal]]))</f>
        <v>135.41854576488009</v>
      </c>
      <c r="O121" s="32">
        <f>IF(Tabell2[[#This Row],[Befvekst10]]&lt;=F$427,F$427,IF(Tabell2[[#This Row],[Befvekst10]]&gt;=F$428,F$428,Tabell2[[#This Row],[Befvekst10]]))</f>
        <v>7.5731913864021339E-2</v>
      </c>
      <c r="P121" s="32">
        <f>IF(Tabell2[[#This Row],[Kvinneandel]]&lt;=G$427,G$427,IF(Tabell2[[#This Row],[Kvinneandel]]&gt;=G$428,G$428,Tabell2[[#This Row],[Kvinneandel]]))</f>
        <v>0.10560053981106612</v>
      </c>
      <c r="Q121" s="32">
        <f>IF(Tabell2[[#This Row],[Eldreandel]]&lt;=H$427,H$427,IF(Tabell2[[#This Row],[Eldreandel]]&gt;=H$428,H$428,Tabell2[[#This Row],[Eldreandel]]))</f>
        <v>0.17457639826060878</v>
      </c>
      <c r="R121" s="32">
        <f>IF(Tabell2[[#This Row],[Sysselsettingsvekst10]]&lt;=I$427,I$427,IF(Tabell2[[#This Row],[Sysselsettingsvekst10]]&gt;=I$428,I$428,Tabell2[[#This Row],[Sysselsettingsvekst10]]))</f>
        <v>8.7512719872074429E-2</v>
      </c>
      <c r="S121" s="32">
        <f>IF(Tabell2[[#This Row],[Yrkesaktivandel]]&lt;=J$427,J$427,IF(Tabell2[[#This Row],[Yrkesaktivandel]]&gt;=J$428,J$428,Tabell2[[#This Row],[Yrkesaktivandel]]))</f>
        <v>0.82437632696390661</v>
      </c>
      <c r="T121" s="67">
        <f>IF(Tabell2[[#This Row],[Inntekt]]&lt;=K$427,K$427,IF(Tabell2[[#This Row],[Inntekt]]&gt;=K$428,K$428,Tabell2[[#This Row],[Inntekt]]))</f>
        <v>449160</v>
      </c>
      <c r="U121" s="10">
        <f>IF(Tabell2[[#This Row],[NIBR11-T]]&lt;=L$430,100,IF(Tabell2[[#This Row],[NIBR11-T]]&gt;=L$429,0,100*(L$429-Tabell2[[#This Row],[NIBR11-T]])/L$432))</f>
        <v>90</v>
      </c>
      <c r="V121" s="10">
        <f>(M$429-Tabell2[[#This Row],[ReisetidOslo-T]])*100/M$432</f>
        <v>92.513269987445256</v>
      </c>
      <c r="W121" s="10">
        <f>100-(N$429-Tabell2[[#This Row],[Beftettotal-T]])*100/N$432</f>
        <v>100</v>
      </c>
      <c r="X121" s="10">
        <f>100-(O$429-Tabell2[[#This Row],[Befvekst10-T]])*100/O$432</f>
        <v>56.11207258169771</v>
      </c>
      <c r="Y121" s="10">
        <f>100-(P$429-Tabell2[[#This Row],[Kvinneandel-T]])*100/P$432</f>
        <v>41.425746453241267</v>
      </c>
      <c r="Z121" s="10">
        <f>(Q$429-Tabell2[[#This Row],[Eldreandel-T]])*100/Q$432</f>
        <v>52.264743501404766</v>
      </c>
      <c r="AA121" s="10">
        <f>100-(R$429-Tabell2[[#This Row],[Sysselsettingsvekst10-T]])*100/R$432</f>
        <v>67.979045529304969</v>
      </c>
      <c r="AB121" s="10">
        <f>100-(S$429-Tabell2[[#This Row],[Yrkesaktivandel-T]])*100/S$432</f>
        <v>21.199285078874695</v>
      </c>
      <c r="AC121" s="10">
        <f>100-(T$429-Tabell2[[#This Row],[Inntekt-T]])*100/T$432</f>
        <v>100</v>
      </c>
      <c r="AD12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72.076099073634339</v>
      </c>
    </row>
    <row r="122" spans="1:30" x14ac:dyDescent="0.25">
      <c r="A122" s="2" t="s">
        <v>116</v>
      </c>
      <c r="B122" s="2">
        <v>120</v>
      </c>
      <c r="C122">
        <f>'Rådata-K'!N121</f>
        <v>4</v>
      </c>
      <c r="D122" s="30">
        <f>'Rådata-K'!M121</f>
        <v>98.609375</v>
      </c>
      <c r="E122" s="32">
        <f>'Rådata-K'!O121</f>
        <v>220.11553663727574</v>
      </c>
      <c r="F122" s="32">
        <f>'Rådata-K'!P121</f>
        <v>6.5367748771227641E-2</v>
      </c>
      <c r="G122" s="32">
        <f>'Rådata-K'!Q121</f>
        <v>0.11752030498922593</v>
      </c>
      <c r="H122" s="32">
        <f>'Rådata-K'!R121</f>
        <v>0.16238466213602962</v>
      </c>
      <c r="I122" s="32">
        <f>'Rådata-K'!S121</f>
        <v>-3.8607201401842706E-2</v>
      </c>
      <c r="J122" s="32">
        <f>'Rådata-K'!T121</f>
        <v>0.788558503369304</v>
      </c>
      <c r="K122" s="67">
        <f>'Rådata-K'!L121</f>
        <v>410400</v>
      </c>
      <c r="L122" s="18">
        <f>Tabell2[[#This Row],[NIBR11]]</f>
        <v>4</v>
      </c>
      <c r="M122" s="32">
        <f>IF(Tabell2[[#This Row],[ReisetidOslo]]&lt;=D$427,D$427,IF(Tabell2[[#This Row],[ReisetidOslo]]&gt;=D$428,D$428,Tabell2[[#This Row],[ReisetidOslo]]))</f>
        <v>98.609375</v>
      </c>
      <c r="N122" s="32">
        <f>IF(Tabell2[[#This Row],[Beftettotal]]&lt;=E$427,E$427,IF(Tabell2[[#This Row],[Beftettotal]]&gt;=E$428,E$428,Tabell2[[#This Row],[Beftettotal]]))</f>
        <v>135.41854576488009</v>
      </c>
      <c r="O122" s="32">
        <f>IF(Tabell2[[#This Row],[Befvekst10]]&lt;=F$427,F$427,IF(Tabell2[[#This Row],[Befvekst10]]&gt;=F$428,F$428,Tabell2[[#This Row],[Befvekst10]]))</f>
        <v>6.5367748771227641E-2</v>
      </c>
      <c r="P122" s="32">
        <f>IF(Tabell2[[#This Row],[Kvinneandel]]&lt;=G$427,G$427,IF(Tabell2[[#This Row],[Kvinneandel]]&gt;=G$428,G$428,Tabell2[[#This Row],[Kvinneandel]]))</f>
        <v>0.11752030498922593</v>
      </c>
      <c r="Q122" s="32">
        <f>IF(Tabell2[[#This Row],[Eldreandel]]&lt;=H$427,H$427,IF(Tabell2[[#This Row],[Eldreandel]]&gt;=H$428,H$428,Tabell2[[#This Row],[Eldreandel]]))</f>
        <v>0.16238466213602962</v>
      </c>
      <c r="R122" s="32">
        <f>IF(Tabell2[[#This Row],[Sysselsettingsvekst10]]&lt;=I$427,I$427,IF(Tabell2[[#This Row],[Sysselsettingsvekst10]]&gt;=I$428,I$428,Tabell2[[#This Row],[Sysselsettingsvekst10]]))</f>
        <v>-3.8607201401842706E-2</v>
      </c>
      <c r="S122" s="32">
        <f>IF(Tabell2[[#This Row],[Yrkesaktivandel]]&lt;=J$427,J$427,IF(Tabell2[[#This Row],[Yrkesaktivandel]]&gt;=J$428,J$428,Tabell2[[#This Row],[Yrkesaktivandel]]))</f>
        <v>0.7970451171433347</v>
      </c>
      <c r="T122" s="67">
        <f>IF(Tabell2[[#This Row],[Inntekt]]&lt;=K$427,K$427,IF(Tabell2[[#This Row],[Inntekt]]&gt;=K$428,K$428,Tabell2[[#This Row],[Inntekt]]))</f>
        <v>410400</v>
      </c>
      <c r="U122" s="10">
        <f>IF(Tabell2[[#This Row],[NIBR11-T]]&lt;=L$430,100,IF(Tabell2[[#This Row],[NIBR11-T]]&gt;=L$429,0,100*(L$429-Tabell2[[#This Row],[NIBR11-T]])/L$432))</f>
        <v>70</v>
      </c>
      <c r="V122" s="10">
        <f>(M$429-Tabell2[[#This Row],[ReisetidOslo-T]])*100/M$432</f>
        <v>81.049077916788676</v>
      </c>
      <c r="W122" s="10">
        <f>100-(N$429-Tabell2[[#This Row],[Beftettotal-T]])*100/N$432</f>
        <v>100</v>
      </c>
      <c r="X122" s="10">
        <f>100-(O$429-Tabell2[[#This Row],[Befvekst10-T]])*100/O$432</f>
        <v>51.647451383699547</v>
      </c>
      <c r="Y122" s="10">
        <f>100-(P$429-Tabell2[[#This Row],[Kvinneandel-T]])*100/P$432</f>
        <v>72.909460275927614</v>
      </c>
      <c r="Z122" s="10">
        <f>(Q$429-Tabell2[[#This Row],[Eldreandel-T]])*100/Q$432</f>
        <v>65.414899675639489</v>
      </c>
      <c r="AA122" s="10">
        <f>100-(R$429-Tabell2[[#This Row],[Sysselsettingsvekst10-T]])*100/R$432</f>
        <v>23.856730639832179</v>
      </c>
      <c r="AB122" s="10">
        <f>100-(S$429-Tabell2[[#This Row],[Yrkesaktivandel-T]])*100/S$432</f>
        <v>0</v>
      </c>
      <c r="AC122" s="10">
        <f>100-(T$429-Tabell2[[#This Row],[Inntekt-T]])*100/T$432</f>
        <v>56.947684105298237</v>
      </c>
      <c r="AD12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57.431057540510182</v>
      </c>
    </row>
    <row r="123" spans="1:30" x14ac:dyDescent="0.25">
      <c r="A123" s="2" t="s">
        <v>117</v>
      </c>
      <c r="B123" s="2">
        <v>121</v>
      </c>
      <c r="C123">
        <f>'Rådata-K'!N122</f>
        <v>4</v>
      </c>
      <c r="D123" s="30">
        <f>'Rådata-K'!M122</f>
        <v>99.71875</v>
      </c>
      <c r="E123" s="32">
        <f>'Rådata-K'!O122</f>
        <v>69.707392197125259</v>
      </c>
      <c r="F123" s="32">
        <f>'Rådata-K'!P122</f>
        <v>7.1406028089001206E-2</v>
      </c>
      <c r="G123" s="32">
        <f>'Rådata-K'!Q122</f>
        <v>0.11919139848295161</v>
      </c>
      <c r="H123" s="32">
        <f>'Rådata-K'!R122</f>
        <v>0.16214375138080861</v>
      </c>
      <c r="I123" s="32">
        <f>'Rådata-K'!S122</f>
        <v>5.0708582417122949E-2</v>
      </c>
      <c r="J123" s="32">
        <f>'Rådata-K'!T122</f>
        <v>0.79472936720845822</v>
      </c>
      <c r="K123" s="67">
        <f>'Rådata-K'!L122</f>
        <v>398500</v>
      </c>
      <c r="L123" s="18">
        <f>Tabell2[[#This Row],[NIBR11]]</f>
        <v>4</v>
      </c>
      <c r="M123" s="32">
        <f>IF(Tabell2[[#This Row],[ReisetidOslo]]&lt;=D$427,D$427,IF(Tabell2[[#This Row],[ReisetidOslo]]&gt;=D$428,D$428,Tabell2[[#This Row],[ReisetidOslo]]))</f>
        <v>99.71875</v>
      </c>
      <c r="N123" s="32">
        <f>IF(Tabell2[[#This Row],[Beftettotal]]&lt;=E$427,E$427,IF(Tabell2[[#This Row],[Beftettotal]]&gt;=E$428,E$428,Tabell2[[#This Row],[Beftettotal]]))</f>
        <v>69.707392197125259</v>
      </c>
      <c r="O123" s="32">
        <f>IF(Tabell2[[#This Row],[Befvekst10]]&lt;=F$427,F$427,IF(Tabell2[[#This Row],[Befvekst10]]&gt;=F$428,F$428,Tabell2[[#This Row],[Befvekst10]]))</f>
        <v>7.1406028089001206E-2</v>
      </c>
      <c r="P123" s="32">
        <f>IF(Tabell2[[#This Row],[Kvinneandel]]&lt;=G$427,G$427,IF(Tabell2[[#This Row],[Kvinneandel]]&gt;=G$428,G$428,Tabell2[[#This Row],[Kvinneandel]]))</f>
        <v>0.11919139848295161</v>
      </c>
      <c r="Q123" s="32">
        <f>IF(Tabell2[[#This Row],[Eldreandel]]&lt;=H$427,H$427,IF(Tabell2[[#This Row],[Eldreandel]]&gt;=H$428,H$428,Tabell2[[#This Row],[Eldreandel]]))</f>
        <v>0.16214375138080861</v>
      </c>
      <c r="R123" s="32">
        <f>IF(Tabell2[[#This Row],[Sysselsettingsvekst10]]&lt;=I$427,I$427,IF(Tabell2[[#This Row],[Sysselsettingsvekst10]]&gt;=I$428,I$428,Tabell2[[#This Row],[Sysselsettingsvekst10]]))</f>
        <v>5.0708582417122949E-2</v>
      </c>
      <c r="S123" s="32">
        <f>IF(Tabell2[[#This Row],[Yrkesaktivandel]]&lt;=J$427,J$427,IF(Tabell2[[#This Row],[Yrkesaktivandel]]&gt;=J$428,J$428,Tabell2[[#This Row],[Yrkesaktivandel]]))</f>
        <v>0.7970451171433347</v>
      </c>
      <c r="T123" s="67">
        <f>IF(Tabell2[[#This Row],[Inntekt]]&lt;=K$427,K$427,IF(Tabell2[[#This Row],[Inntekt]]&gt;=K$428,K$428,Tabell2[[#This Row],[Inntekt]]))</f>
        <v>398500</v>
      </c>
      <c r="U123" s="10">
        <f>IF(Tabell2[[#This Row],[NIBR11-T]]&lt;=L$430,100,IF(Tabell2[[#This Row],[NIBR11-T]]&gt;=L$429,0,100*(L$429-Tabell2[[#This Row],[NIBR11-T]])/L$432))</f>
        <v>70</v>
      </c>
      <c r="V123" s="10">
        <f>(M$429-Tabell2[[#This Row],[ReisetidOslo-T]])*100/M$432</f>
        <v>80.571122757060778</v>
      </c>
      <c r="W123" s="10">
        <f>100-(N$429-Tabell2[[#This Row],[Beftettotal-T]])*100/N$432</f>
        <v>51.025092094102881</v>
      </c>
      <c r="X123" s="10">
        <f>100-(O$429-Tabell2[[#This Row],[Befvekst10-T]])*100/O$432</f>
        <v>54.248589980026068</v>
      </c>
      <c r="Y123" s="10">
        <f>100-(P$429-Tabell2[[#This Row],[Kvinneandel-T]])*100/P$432</f>
        <v>77.323324856398727</v>
      </c>
      <c r="Z123" s="10">
        <f>(Q$429-Tabell2[[#This Row],[Eldreandel-T]])*100/Q$432</f>
        <v>65.674748972149629</v>
      </c>
      <c r="AA123" s="10">
        <f>100-(R$429-Tabell2[[#This Row],[Sysselsettingsvekst10-T]])*100/R$432</f>
        <v>55.10333386044077</v>
      </c>
      <c r="AB123" s="10">
        <f>100-(S$429-Tabell2[[#This Row],[Yrkesaktivandel-T]])*100/S$432</f>
        <v>0</v>
      </c>
      <c r="AC123" s="10">
        <f>100-(T$429-Tabell2[[#This Row],[Inntekt-T]])*100/T$432</f>
        <v>43.729867821837168</v>
      </c>
      <c r="AD12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55.042563340776795</v>
      </c>
    </row>
    <row r="124" spans="1:30" x14ac:dyDescent="0.25">
      <c r="A124" s="2" t="s">
        <v>118</v>
      </c>
      <c r="B124" s="2">
        <v>122</v>
      </c>
      <c r="C124">
        <f>'Rådata-K'!N123</f>
        <v>5</v>
      </c>
      <c r="D124" s="30">
        <f>'Rådata-K'!M123</f>
        <v>89.25</v>
      </c>
      <c r="E124" s="32">
        <f>'Rådata-K'!O123</f>
        <v>13.886530381207409</v>
      </c>
      <c r="F124" s="32">
        <f>'Rådata-K'!P123</f>
        <v>4.3858931347680263E-2</v>
      </c>
      <c r="G124" s="32">
        <f>'Rådata-K'!Q123</f>
        <v>0.11444697029082072</v>
      </c>
      <c r="H124" s="32">
        <f>'Rådata-K'!R123</f>
        <v>0.18037156071176608</v>
      </c>
      <c r="I124" s="32">
        <f>'Rådata-K'!S123</f>
        <v>-2.9998170843241301E-2</v>
      </c>
      <c r="J124" s="32">
        <f>'Rådata-K'!T123</f>
        <v>0.78436731347362665</v>
      </c>
      <c r="K124" s="67">
        <f>'Rådata-K'!L123</f>
        <v>390800</v>
      </c>
      <c r="L124" s="18">
        <f>Tabell2[[#This Row],[NIBR11]]</f>
        <v>5</v>
      </c>
      <c r="M124" s="32">
        <f>IF(Tabell2[[#This Row],[ReisetidOslo]]&lt;=D$427,D$427,IF(Tabell2[[#This Row],[ReisetidOslo]]&gt;=D$428,D$428,Tabell2[[#This Row],[ReisetidOslo]]))</f>
        <v>89.25</v>
      </c>
      <c r="N124" s="32">
        <f>IF(Tabell2[[#This Row],[Beftettotal]]&lt;=E$427,E$427,IF(Tabell2[[#This Row],[Beftettotal]]&gt;=E$428,E$428,Tabell2[[#This Row],[Beftettotal]]))</f>
        <v>13.886530381207409</v>
      </c>
      <c r="O124" s="32">
        <f>IF(Tabell2[[#This Row],[Befvekst10]]&lt;=F$427,F$427,IF(Tabell2[[#This Row],[Befvekst10]]&gt;=F$428,F$428,Tabell2[[#This Row],[Befvekst10]]))</f>
        <v>4.3858931347680263E-2</v>
      </c>
      <c r="P124" s="32">
        <f>IF(Tabell2[[#This Row],[Kvinneandel]]&lt;=G$427,G$427,IF(Tabell2[[#This Row],[Kvinneandel]]&gt;=G$428,G$428,Tabell2[[#This Row],[Kvinneandel]]))</f>
        <v>0.11444697029082072</v>
      </c>
      <c r="Q124" s="32">
        <f>IF(Tabell2[[#This Row],[Eldreandel]]&lt;=H$427,H$427,IF(Tabell2[[#This Row],[Eldreandel]]&gt;=H$428,H$428,Tabell2[[#This Row],[Eldreandel]]))</f>
        <v>0.18037156071176608</v>
      </c>
      <c r="R124" s="32">
        <f>IF(Tabell2[[#This Row],[Sysselsettingsvekst10]]&lt;=I$427,I$427,IF(Tabell2[[#This Row],[Sysselsettingsvekst10]]&gt;=I$428,I$428,Tabell2[[#This Row],[Sysselsettingsvekst10]]))</f>
        <v>-2.9998170843241301E-2</v>
      </c>
      <c r="S124" s="32">
        <f>IF(Tabell2[[#This Row],[Yrkesaktivandel]]&lt;=J$427,J$427,IF(Tabell2[[#This Row],[Yrkesaktivandel]]&gt;=J$428,J$428,Tabell2[[#This Row],[Yrkesaktivandel]]))</f>
        <v>0.7970451171433347</v>
      </c>
      <c r="T124" s="67">
        <f>IF(Tabell2[[#This Row],[Inntekt]]&lt;=K$427,K$427,IF(Tabell2[[#This Row],[Inntekt]]&gt;=K$428,K$428,Tabell2[[#This Row],[Inntekt]]))</f>
        <v>390800</v>
      </c>
      <c r="U124" s="10">
        <f>IF(Tabell2[[#This Row],[NIBR11-T]]&lt;=L$430,100,IF(Tabell2[[#This Row],[NIBR11-T]]&gt;=L$429,0,100*(L$429-Tabell2[[#This Row],[NIBR11-T]])/L$432))</f>
        <v>60</v>
      </c>
      <c r="V124" s="10">
        <f>(M$429-Tabell2[[#This Row],[ReisetidOslo-T]])*100/M$432</f>
        <v>85.081403841817036</v>
      </c>
      <c r="W124" s="10">
        <f>100-(N$429-Tabell2[[#This Row],[Beftettotal-T]])*100/N$432</f>
        <v>9.4214766006762005</v>
      </c>
      <c r="X124" s="10">
        <f>100-(O$429-Tabell2[[#This Row],[Befvekst10-T]])*100/O$432</f>
        <v>42.381994749878501</v>
      </c>
      <c r="Y124" s="10">
        <f>100-(P$429-Tabell2[[#This Row],[Kvinneandel-T]])*100/P$432</f>
        <v>64.791851524438798</v>
      </c>
      <c r="Z124" s="10">
        <f>(Q$429-Tabell2[[#This Row],[Eldreandel-T]])*100/Q$432</f>
        <v>46.014010176054846</v>
      </c>
      <c r="AA124" s="10">
        <f>100-(R$429-Tabell2[[#This Row],[Sysselsettingsvekst10-T]])*100/R$432</f>
        <v>26.868549497336204</v>
      </c>
      <c r="AB124" s="10">
        <f>100-(S$429-Tabell2[[#This Row],[Yrkesaktivandel-T]])*100/S$432</f>
        <v>0</v>
      </c>
      <c r="AC124" s="10">
        <f>100-(T$429-Tabell2[[#This Row],[Inntekt-T]])*100/T$432</f>
        <v>35.177163167832944</v>
      </c>
      <c r="AD12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41.671551345766616</v>
      </c>
    </row>
    <row r="125" spans="1:30" x14ac:dyDescent="0.25">
      <c r="A125" s="2" t="s">
        <v>119</v>
      </c>
      <c r="B125" s="2">
        <v>123</v>
      </c>
      <c r="C125">
        <f>'Rådata-K'!N124</f>
        <v>4</v>
      </c>
      <c r="D125" s="30">
        <f>'Rådata-K'!M124</f>
        <v>86.5625</v>
      </c>
      <c r="E125" s="32">
        <f>'Rådata-K'!O124</f>
        <v>11.016077771546085</v>
      </c>
      <c r="F125" s="32">
        <f>'Rådata-K'!P124</f>
        <v>-2.1168501270110163E-3</v>
      </c>
      <c r="G125" s="32">
        <f>'Rådata-K'!Q124</f>
        <v>0.11794654221467968</v>
      </c>
      <c r="H125" s="32">
        <f>'Rådata-K'!R124</f>
        <v>0.16885871871022487</v>
      </c>
      <c r="I125" s="32">
        <f>'Rådata-K'!S124</f>
        <v>-1.7821782178217838E-2</v>
      </c>
      <c r="J125" s="32">
        <f>'Rådata-K'!T124</f>
        <v>0.8725128960943257</v>
      </c>
      <c r="K125" s="67">
        <f>'Rådata-K'!L124</f>
        <v>393000</v>
      </c>
      <c r="L125" s="18">
        <f>Tabell2[[#This Row],[NIBR11]]</f>
        <v>4</v>
      </c>
      <c r="M125" s="32">
        <f>IF(Tabell2[[#This Row],[ReisetidOslo]]&lt;=D$427,D$427,IF(Tabell2[[#This Row],[ReisetidOslo]]&gt;=D$428,D$428,Tabell2[[#This Row],[ReisetidOslo]]))</f>
        <v>86.5625</v>
      </c>
      <c r="N125" s="32">
        <f>IF(Tabell2[[#This Row],[Beftettotal]]&lt;=E$427,E$427,IF(Tabell2[[#This Row],[Beftettotal]]&gt;=E$428,E$428,Tabell2[[#This Row],[Beftettotal]]))</f>
        <v>11.016077771546085</v>
      </c>
      <c r="O125" s="32">
        <f>IF(Tabell2[[#This Row],[Befvekst10]]&lt;=F$427,F$427,IF(Tabell2[[#This Row],[Befvekst10]]&gt;=F$428,F$428,Tabell2[[#This Row],[Befvekst10]]))</f>
        <v>-2.1168501270110163E-3</v>
      </c>
      <c r="P125" s="32">
        <f>IF(Tabell2[[#This Row],[Kvinneandel]]&lt;=G$427,G$427,IF(Tabell2[[#This Row],[Kvinneandel]]&gt;=G$428,G$428,Tabell2[[#This Row],[Kvinneandel]]))</f>
        <v>0.11794654221467968</v>
      </c>
      <c r="Q125" s="32">
        <f>IF(Tabell2[[#This Row],[Eldreandel]]&lt;=H$427,H$427,IF(Tabell2[[#This Row],[Eldreandel]]&gt;=H$428,H$428,Tabell2[[#This Row],[Eldreandel]]))</f>
        <v>0.16885871871022487</v>
      </c>
      <c r="R125" s="32">
        <f>IF(Tabell2[[#This Row],[Sysselsettingsvekst10]]&lt;=I$427,I$427,IF(Tabell2[[#This Row],[Sysselsettingsvekst10]]&gt;=I$428,I$428,Tabell2[[#This Row],[Sysselsettingsvekst10]]))</f>
        <v>-1.7821782178217838E-2</v>
      </c>
      <c r="S125" s="32">
        <f>IF(Tabell2[[#This Row],[Yrkesaktivandel]]&lt;=J$427,J$427,IF(Tabell2[[#This Row],[Yrkesaktivandel]]&gt;=J$428,J$428,Tabell2[[#This Row],[Yrkesaktivandel]]))</f>
        <v>0.8725128960943257</v>
      </c>
      <c r="T125" s="67">
        <f>IF(Tabell2[[#This Row],[Inntekt]]&lt;=K$427,K$427,IF(Tabell2[[#This Row],[Inntekt]]&gt;=K$428,K$428,Tabell2[[#This Row],[Inntekt]]))</f>
        <v>393000</v>
      </c>
      <c r="U125" s="10">
        <f>IF(Tabell2[[#This Row],[NIBR11-T]]&lt;=L$430,100,IF(Tabell2[[#This Row],[NIBR11-T]]&gt;=L$429,0,100*(L$429-Tabell2[[#This Row],[NIBR11-T]])/L$432))</f>
        <v>70</v>
      </c>
      <c r="V125" s="10">
        <f>(M$429-Tabell2[[#This Row],[ReisetidOslo-T]])*100/M$432</f>
        <v>86.239267045664917</v>
      </c>
      <c r="W125" s="10">
        <f>100-(N$429-Tabell2[[#This Row],[Beftettotal-T]])*100/N$432</f>
        <v>7.2821114461525696</v>
      </c>
      <c r="X125" s="10">
        <f>100-(O$429-Tabell2[[#This Row],[Befvekst10-T]])*100/O$432</f>
        <v>22.576786445240401</v>
      </c>
      <c r="Y125" s="10">
        <f>100-(P$429-Tabell2[[#This Row],[Kvinneandel-T]])*100/P$432</f>
        <v>74.03528202041548</v>
      </c>
      <c r="Z125" s="10">
        <f>(Q$429-Tabell2[[#This Row],[Eldreandel-T]])*100/Q$432</f>
        <v>58.431902819280175</v>
      </c>
      <c r="AA125" s="10">
        <f>100-(R$429-Tabell2[[#This Row],[Sysselsettingsvekst10-T]])*100/R$432</f>
        <v>31.128387669356059</v>
      </c>
      <c r="AB125" s="10">
        <f>100-(S$429-Tabell2[[#This Row],[Yrkesaktivandel-T]])*100/S$432</f>
        <v>58.536119357854282</v>
      </c>
      <c r="AC125" s="10">
        <f>100-(T$429-Tabell2[[#This Row],[Inntekt-T]])*100/T$432</f>
        <v>37.620793068977008</v>
      </c>
      <c r="AD12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47.219384389833351</v>
      </c>
    </row>
    <row r="126" spans="1:30" x14ac:dyDescent="0.25">
      <c r="A126" s="2" t="s">
        <v>120</v>
      </c>
      <c r="B126" s="2">
        <v>124</v>
      </c>
      <c r="C126">
        <f>'Rådata-K'!N125</f>
        <v>4</v>
      </c>
      <c r="D126" s="30">
        <f>'Rådata-K'!M125</f>
        <v>109.78125</v>
      </c>
      <c r="E126" s="32">
        <f>'Rådata-K'!O125</f>
        <v>46.450044353911359</v>
      </c>
      <c r="F126" s="32">
        <f>'Rådata-K'!P125</f>
        <v>5.4761396771210169E-3</v>
      </c>
      <c r="G126" s="32">
        <f>'Rådata-K'!Q125</f>
        <v>0.107158013863347</v>
      </c>
      <c r="H126" s="32">
        <f>'Rådata-K'!R125</f>
        <v>0.17180647899278539</v>
      </c>
      <c r="I126" s="32">
        <f>'Rådata-K'!S125</f>
        <v>-0.1087835354649026</v>
      </c>
      <c r="J126" s="32">
        <f>'Rådata-K'!T125</f>
        <v>0.80993171942892617</v>
      </c>
      <c r="K126" s="67">
        <f>'Rådata-K'!L125</f>
        <v>413800</v>
      </c>
      <c r="L126" s="18">
        <f>Tabell2[[#This Row],[NIBR11]]</f>
        <v>4</v>
      </c>
      <c r="M126" s="32">
        <f>IF(Tabell2[[#This Row],[ReisetidOslo]]&lt;=D$427,D$427,IF(Tabell2[[#This Row],[ReisetidOslo]]&gt;=D$428,D$428,Tabell2[[#This Row],[ReisetidOslo]]))</f>
        <v>109.78125</v>
      </c>
      <c r="N126" s="32">
        <f>IF(Tabell2[[#This Row],[Beftettotal]]&lt;=E$427,E$427,IF(Tabell2[[#This Row],[Beftettotal]]&gt;=E$428,E$428,Tabell2[[#This Row],[Beftettotal]]))</f>
        <v>46.450044353911359</v>
      </c>
      <c r="O126" s="32">
        <f>IF(Tabell2[[#This Row],[Befvekst10]]&lt;=F$427,F$427,IF(Tabell2[[#This Row],[Befvekst10]]&gt;=F$428,F$428,Tabell2[[#This Row],[Befvekst10]]))</f>
        <v>5.4761396771210169E-3</v>
      </c>
      <c r="P126" s="32">
        <f>IF(Tabell2[[#This Row],[Kvinneandel]]&lt;=G$427,G$427,IF(Tabell2[[#This Row],[Kvinneandel]]&gt;=G$428,G$428,Tabell2[[#This Row],[Kvinneandel]]))</f>
        <v>0.107158013863347</v>
      </c>
      <c r="Q126" s="32">
        <f>IF(Tabell2[[#This Row],[Eldreandel]]&lt;=H$427,H$427,IF(Tabell2[[#This Row],[Eldreandel]]&gt;=H$428,H$428,Tabell2[[#This Row],[Eldreandel]]))</f>
        <v>0.17180647899278539</v>
      </c>
      <c r="R126" s="32">
        <f>IF(Tabell2[[#This Row],[Sysselsettingsvekst10]]&lt;=I$427,I$427,IF(Tabell2[[#This Row],[Sysselsettingsvekst10]]&gt;=I$428,I$428,Tabell2[[#This Row],[Sysselsettingsvekst10]]))</f>
        <v>-0.10679965679965678</v>
      </c>
      <c r="S126" s="32">
        <f>IF(Tabell2[[#This Row],[Yrkesaktivandel]]&lt;=J$427,J$427,IF(Tabell2[[#This Row],[Yrkesaktivandel]]&gt;=J$428,J$428,Tabell2[[#This Row],[Yrkesaktivandel]]))</f>
        <v>0.80993171942892617</v>
      </c>
      <c r="T126" s="67">
        <f>IF(Tabell2[[#This Row],[Inntekt]]&lt;=K$427,K$427,IF(Tabell2[[#This Row],[Inntekt]]&gt;=K$428,K$428,Tabell2[[#This Row],[Inntekt]]))</f>
        <v>413800</v>
      </c>
      <c r="U126" s="10">
        <f>IF(Tabell2[[#This Row],[NIBR11-T]]&lt;=L$430,100,IF(Tabell2[[#This Row],[NIBR11-T]]&gt;=L$429,0,100*(L$429-Tabell2[[#This Row],[NIBR11-T]])/L$432))</f>
        <v>70</v>
      </c>
      <c r="V126" s="10">
        <f>(M$429-Tabell2[[#This Row],[ReisetidOslo-T]])*100/M$432</f>
        <v>76.235867505444318</v>
      </c>
      <c r="W126" s="10">
        <f>100-(N$429-Tabell2[[#This Row],[Beftettotal-T]])*100/N$432</f>
        <v>33.691254428593552</v>
      </c>
      <c r="X126" s="10">
        <f>100-(O$429-Tabell2[[#This Row],[Befvekst10-T]])*100/O$432</f>
        <v>25.847655148333786</v>
      </c>
      <c r="Y126" s="10">
        <f>100-(P$429-Tabell2[[#This Row],[Kvinneandel-T]])*100/P$432</f>
        <v>45.539507640258272</v>
      </c>
      <c r="Z126" s="10">
        <f>(Q$429-Tabell2[[#This Row],[Eldreandel-T]])*100/Q$432</f>
        <v>55.252412410057168</v>
      </c>
      <c r="AA126" s="10">
        <f>100-(R$429-Tabell2[[#This Row],[Sysselsettingsvekst10-T]])*100/R$432</f>
        <v>0</v>
      </c>
      <c r="AB126" s="10">
        <f>100-(S$429-Tabell2[[#This Row],[Yrkesaktivandel-T]])*100/S$432</f>
        <v>9.9954139368066564</v>
      </c>
      <c r="AC126" s="10">
        <f>100-(T$429-Tabell2[[#This Row],[Inntekt-T]])*100/T$432</f>
        <v>60.724203043429966</v>
      </c>
      <c r="AD12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42.273800923609983</v>
      </c>
    </row>
    <row r="127" spans="1:30" x14ac:dyDescent="0.25">
      <c r="A127" s="2" t="s">
        <v>121</v>
      </c>
      <c r="B127" s="2">
        <v>125</v>
      </c>
      <c r="C127">
        <f>'Rådata-K'!N126</f>
        <v>4</v>
      </c>
      <c r="D127" s="30">
        <f>'Rådata-K'!M126</f>
        <v>132.96875</v>
      </c>
      <c r="E127" s="32">
        <f>'Rådata-K'!O126</f>
        <v>34.655928763176853</v>
      </c>
      <c r="F127" s="32">
        <f>'Rådata-K'!P126</f>
        <v>1.0018128041217489E-2</v>
      </c>
      <c r="G127" s="32">
        <f>'Rådata-K'!Q126</f>
        <v>0.10041564330247496</v>
      </c>
      <c r="H127" s="32">
        <f>'Rådata-K'!R126</f>
        <v>0.20111467976572833</v>
      </c>
      <c r="I127" s="32">
        <f>'Rådata-K'!S126</f>
        <v>-8.7691614066726764E-2</v>
      </c>
      <c r="J127" s="32">
        <f>'Rådata-K'!T126</f>
        <v>0.77834008097165996</v>
      </c>
      <c r="K127" s="67">
        <f>'Rådata-K'!L126</f>
        <v>376400</v>
      </c>
      <c r="L127" s="18">
        <f>Tabell2[[#This Row],[NIBR11]]</f>
        <v>4</v>
      </c>
      <c r="M127" s="32">
        <f>IF(Tabell2[[#This Row],[ReisetidOslo]]&lt;=D$427,D$427,IF(Tabell2[[#This Row],[ReisetidOslo]]&gt;=D$428,D$428,Tabell2[[#This Row],[ReisetidOslo]]))</f>
        <v>132.96875</v>
      </c>
      <c r="N127" s="32">
        <f>IF(Tabell2[[#This Row],[Beftettotal]]&lt;=E$427,E$427,IF(Tabell2[[#This Row],[Beftettotal]]&gt;=E$428,E$428,Tabell2[[#This Row],[Beftettotal]]))</f>
        <v>34.655928763176853</v>
      </c>
      <c r="O127" s="32">
        <f>IF(Tabell2[[#This Row],[Befvekst10]]&lt;=F$427,F$427,IF(Tabell2[[#This Row],[Befvekst10]]&gt;=F$428,F$428,Tabell2[[#This Row],[Befvekst10]]))</f>
        <v>1.0018128041217489E-2</v>
      </c>
      <c r="P127" s="32">
        <f>IF(Tabell2[[#This Row],[Kvinneandel]]&lt;=G$427,G$427,IF(Tabell2[[#This Row],[Kvinneandel]]&gt;=G$428,G$428,Tabell2[[#This Row],[Kvinneandel]]))</f>
        <v>0.10041564330247496</v>
      </c>
      <c r="Q127" s="32">
        <f>IF(Tabell2[[#This Row],[Eldreandel]]&lt;=H$427,H$427,IF(Tabell2[[#This Row],[Eldreandel]]&gt;=H$428,H$428,Tabell2[[#This Row],[Eldreandel]]))</f>
        <v>0.20111467976572833</v>
      </c>
      <c r="R127" s="32">
        <f>IF(Tabell2[[#This Row],[Sysselsettingsvekst10]]&lt;=I$427,I$427,IF(Tabell2[[#This Row],[Sysselsettingsvekst10]]&gt;=I$428,I$428,Tabell2[[#This Row],[Sysselsettingsvekst10]]))</f>
        <v>-8.7691614066726764E-2</v>
      </c>
      <c r="S127" s="32">
        <f>IF(Tabell2[[#This Row],[Yrkesaktivandel]]&lt;=J$427,J$427,IF(Tabell2[[#This Row],[Yrkesaktivandel]]&gt;=J$428,J$428,Tabell2[[#This Row],[Yrkesaktivandel]]))</f>
        <v>0.7970451171433347</v>
      </c>
      <c r="T127" s="67">
        <f>IF(Tabell2[[#This Row],[Inntekt]]&lt;=K$427,K$427,IF(Tabell2[[#This Row],[Inntekt]]&gt;=K$428,K$428,Tabell2[[#This Row],[Inntekt]]))</f>
        <v>376400</v>
      </c>
      <c r="U127" s="10">
        <f>IF(Tabell2[[#This Row],[NIBR11-T]]&lt;=L$430,100,IF(Tabell2[[#This Row],[NIBR11-T]]&gt;=L$429,0,100*(L$429-Tabell2[[#This Row],[NIBR11-T]])/L$432))</f>
        <v>70</v>
      </c>
      <c r="V127" s="10">
        <f>(M$429-Tabell2[[#This Row],[ReisetidOslo-T]])*100/M$432</f>
        <v>66.245931490849856</v>
      </c>
      <c r="W127" s="10">
        <f>100-(N$429-Tabell2[[#This Row],[Beftettotal-T]])*100/N$432</f>
        <v>24.90103095013724</v>
      </c>
      <c r="X127" s="10">
        <f>100-(O$429-Tabell2[[#This Row],[Befvekst10-T]])*100/O$432</f>
        <v>27.804229300699006</v>
      </c>
      <c r="Y127" s="10">
        <f>100-(P$429-Tabell2[[#This Row],[Kvinneandel-T]])*100/P$432</f>
        <v>27.730862750680686</v>
      </c>
      <c r="Z127" s="10">
        <f>(Q$429-Tabell2[[#This Row],[Eldreandel-T]])*100/Q$432</f>
        <v>23.640227450359291</v>
      </c>
      <c r="AA127" s="10">
        <f>100-(R$429-Tabell2[[#This Row],[Sysselsettingsvekst10-T]])*100/R$432</f>
        <v>6.6848367004031815</v>
      </c>
      <c r="AB127" s="10">
        <f>100-(S$429-Tabell2[[#This Row],[Yrkesaktivandel-T]])*100/S$432</f>
        <v>0</v>
      </c>
      <c r="AC127" s="10">
        <f>100-(T$429-Tabell2[[#This Row],[Inntekt-T]])*100/T$432</f>
        <v>19.182494723980895</v>
      </c>
      <c r="AD12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33.830829756728917</v>
      </c>
    </row>
    <row r="128" spans="1:30" x14ac:dyDescent="0.25">
      <c r="A128" s="2" t="s">
        <v>122</v>
      </c>
      <c r="B128" s="2">
        <v>126</v>
      </c>
      <c r="C128">
        <f>'Rådata-K'!N127</f>
        <v>4</v>
      </c>
      <c r="D128" s="30">
        <f>'Rådata-K'!M127</f>
        <v>141.5625</v>
      </c>
      <c r="E128" s="32">
        <f>'Rådata-K'!O127</f>
        <v>3.9029714522290599</v>
      </c>
      <c r="F128" s="32">
        <f>'Rådata-K'!P127</f>
        <v>2.9013539651836506E-3</v>
      </c>
      <c r="G128" s="32">
        <f>'Rådata-K'!Q127</f>
        <v>9.9083895853423337E-2</v>
      </c>
      <c r="H128" s="32">
        <f>'Rådata-K'!R127</f>
        <v>0.19069431051108968</v>
      </c>
      <c r="I128" s="32">
        <f>'Rådata-K'!S127</f>
        <v>2.9914529914529808E-2</v>
      </c>
      <c r="J128" s="32">
        <f>'Rådata-K'!T127</f>
        <v>0.82516268980477225</v>
      </c>
      <c r="K128" s="67">
        <f>'Rådata-K'!L127</f>
        <v>362000</v>
      </c>
      <c r="L128" s="18">
        <f>Tabell2[[#This Row],[NIBR11]]</f>
        <v>4</v>
      </c>
      <c r="M128" s="32">
        <f>IF(Tabell2[[#This Row],[ReisetidOslo]]&lt;=D$427,D$427,IF(Tabell2[[#This Row],[ReisetidOslo]]&gt;=D$428,D$428,Tabell2[[#This Row],[ReisetidOslo]]))</f>
        <v>141.5625</v>
      </c>
      <c r="N128" s="32">
        <f>IF(Tabell2[[#This Row],[Beftettotal]]&lt;=E$427,E$427,IF(Tabell2[[#This Row],[Beftettotal]]&gt;=E$428,E$428,Tabell2[[#This Row],[Beftettotal]]))</f>
        <v>3.9029714522290599</v>
      </c>
      <c r="O128" s="32">
        <f>IF(Tabell2[[#This Row],[Befvekst10]]&lt;=F$427,F$427,IF(Tabell2[[#This Row],[Befvekst10]]&gt;=F$428,F$428,Tabell2[[#This Row],[Befvekst10]]))</f>
        <v>2.9013539651836506E-3</v>
      </c>
      <c r="P128" s="32">
        <f>IF(Tabell2[[#This Row],[Kvinneandel]]&lt;=G$427,G$427,IF(Tabell2[[#This Row],[Kvinneandel]]&gt;=G$428,G$428,Tabell2[[#This Row],[Kvinneandel]]))</f>
        <v>9.9083895853423337E-2</v>
      </c>
      <c r="Q128" s="32">
        <f>IF(Tabell2[[#This Row],[Eldreandel]]&lt;=H$427,H$427,IF(Tabell2[[#This Row],[Eldreandel]]&gt;=H$428,H$428,Tabell2[[#This Row],[Eldreandel]]))</f>
        <v>0.19069431051108968</v>
      </c>
      <c r="R128" s="32">
        <f>IF(Tabell2[[#This Row],[Sysselsettingsvekst10]]&lt;=I$427,I$427,IF(Tabell2[[#This Row],[Sysselsettingsvekst10]]&gt;=I$428,I$428,Tabell2[[#This Row],[Sysselsettingsvekst10]]))</f>
        <v>2.9914529914529808E-2</v>
      </c>
      <c r="S128" s="32">
        <f>IF(Tabell2[[#This Row],[Yrkesaktivandel]]&lt;=J$427,J$427,IF(Tabell2[[#This Row],[Yrkesaktivandel]]&gt;=J$428,J$428,Tabell2[[#This Row],[Yrkesaktivandel]]))</f>
        <v>0.82516268980477225</v>
      </c>
      <c r="T128" s="67">
        <f>IF(Tabell2[[#This Row],[Inntekt]]&lt;=K$427,K$427,IF(Tabell2[[#This Row],[Inntekt]]&gt;=K$428,K$428,Tabell2[[#This Row],[Inntekt]]))</f>
        <v>362000</v>
      </c>
      <c r="U128" s="10">
        <f>IF(Tabell2[[#This Row],[NIBR11-T]]&lt;=L$430,100,IF(Tabell2[[#This Row],[NIBR11-T]]&gt;=L$429,0,100*(L$429-Tabell2[[#This Row],[NIBR11-T]])/L$432))</f>
        <v>70</v>
      </c>
      <c r="V128" s="10">
        <f>(M$429-Tabell2[[#This Row],[ReisetidOslo-T]])*100/M$432</f>
        <v>62.543461943661882</v>
      </c>
      <c r="W128" s="10">
        <f>100-(N$429-Tabell2[[#This Row],[Beftettotal-T]])*100/N$432</f>
        <v>1.9806716144167211</v>
      </c>
      <c r="X128" s="10">
        <f>100-(O$429-Tabell2[[#This Row],[Befvekst10-T]])*100/O$432</f>
        <v>24.738502335068461</v>
      </c>
      <c r="Y128" s="10">
        <f>100-(P$429-Tabell2[[#This Row],[Kvinneandel-T]])*100/P$432</f>
        <v>24.21331396147653</v>
      </c>
      <c r="Z128" s="10">
        <f>(Q$429-Tabell2[[#This Row],[Eldreandel-T]])*100/Q$432</f>
        <v>34.879765584344476</v>
      </c>
      <c r="AA128" s="10">
        <f>100-(R$429-Tabell2[[#This Row],[Sysselsettingsvekst10-T]])*100/R$432</f>
        <v>47.828656528895465</v>
      </c>
      <c r="AB128" s="10">
        <f>100-(S$429-Tabell2[[#This Row],[Yrkesaktivandel-T]])*100/S$432</f>
        <v>21.809222587985488</v>
      </c>
      <c r="AC128" s="10">
        <f>100-(T$429-Tabell2[[#This Row],[Inntekt-T]])*100/T$432</f>
        <v>3.1878262801288457</v>
      </c>
      <c r="AD12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35.637338339813574</v>
      </c>
    </row>
    <row r="129" spans="1:30" x14ac:dyDescent="0.25">
      <c r="A129" s="2" t="s">
        <v>123</v>
      </c>
      <c r="B129" s="2">
        <v>127</v>
      </c>
      <c r="C129">
        <f>'Rådata-K'!N128</f>
        <v>4</v>
      </c>
      <c r="D129" s="30">
        <f>'Rådata-K'!M128</f>
        <v>125.921875</v>
      </c>
      <c r="E129" s="32">
        <f>'Rådata-K'!O128</f>
        <v>15.325001745444391</v>
      </c>
      <c r="F129" s="32">
        <f>'Rådata-K'!P128</f>
        <v>1.3686131386860811E-3</v>
      </c>
      <c r="G129" s="32">
        <f>'Rådata-K'!Q128</f>
        <v>0.10250569476082004</v>
      </c>
      <c r="H129" s="32">
        <f>'Rådata-K'!R128</f>
        <v>0.19028094153378891</v>
      </c>
      <c r="I129" s="32">
        <f>'Rådata-K'!S128</f>
        <v>-3.1547104580812446E-2</v>
      </c>
      <c r="J129" s="32">
        <f>'Rådata-K'!T128</f>
        <v>0.80971659919028338</v>
      </c>
      <c r="K129" s="67">
        <f>'Rådata-K'!L128</f>
        <v>375900</v>
      </c>
      <c r="L129" s="18">
        <f>Tabell2[[#This Row],[NIBR11]]</f>
        <v>4</v>
      </c>
      <c r="M129" s="32">
        <f>IF(Tabell2[[#This Row],[ReisetidOslo]]&lt;=D$427,D$427,IF(Tabell2[[#This Row],[ReisetidOslo]]&gt;=D$428,D$428,Tabell2[[#This Row],[ReisetidOslo]]))</f>
        <v>125.921875</v>
      </c>
      <c r="N129" s="32">
        <f>IF(Tabell2[[#This Row],[Beftettotal]]&lt;=E$427,E$427,IF(Tabell2[[#This Row],[Beftettotal]]&gt;=E$428,E$428,Tabell2[[#This Row],[Beftettotal]]))</f>
        <v>15.325001745444391</v>
      </c>
      <c r="O129" s="32">
        <f>IF(Tabell2[[#This Row],[Befvekst10]]&lt;=F$427,F$427,IF(Tabell2[[#This Row],[Befvekst10]]&gt;=F$428,F$428,Tabell2[[#This Row],[Befvekst10]]))</f>
        <v>1.3686131386860811E-3</v>
      </c>
      <c r="P129" s="32">
        <f>IF(Tabell2[[#This Row],[Kvinneandel]]&lt;=G$427,G$427,IF(Tabell2[[#This Row],[Kvinneandel]]&gt;=G$428,G$428,Tabell2[[#This Row],[Kvinneandel]]))</f>
        <v>0.10250569476082004</v>
      </c>
      <c r="Q129" s="32">
        <f>IF(Tabell2[[#This Row],[Eldreandel]]&lt;=H$427,H$427,IF(Tabell2[[#This Row],[Eldreandel]]&gt;=H$428,H$428,Tabell2[[#This Row],[Eldreandel]]))</f>
        <v>0.19028094153378891</v>
      </c>
      <c r="R129" s="32">
        <f>IF(Tabell2[[#This Row],[Sysselsettingsvekst10]]&lt;=I$427,I$427,IF(Tabell2[[#This Row],[Sysselsettingsvekst10]]&gt;=I$428,I$428,Tabell2[[#This Row],[Sysselsettingsvekst10]]))</f>
        <v>-3.1547104580812446E-2</v>
      </c>
      <c r="S129" s="32">
        <f>IF(Tabell2[[#This Row],[Yrkesaktivandel]]&lt;=J$427,J$427,IF(Tabell2[[#This Row],[Yrkesaktivandel]]&gt;=J$428,J$428,Tabell2[[#This Row],[Yrkesaktivandel]]))</f>
        <v>0.80971659919028338</v>
      </c>
      <c r="T129" s="67">
        <f>IF(Tabell2[[#This Row],[Inntekt]]&lt;=K$427,K$427,IF(Tabell2[[#This Row],[Inntekt]]&gt;=K$428,K$428,Tabell2[[#This Row],[Inntekt]]))</f>
        <v>375900</v>
      </c>
      <c r="U129" s="10">
        <f>IF(Tabell2[[#This Row],[NIBR11-T]]&lt;=L$430,100,IF(Tabell2[[#This Row],[NIBR11-T]]&gt;=L$429,0,100*(L$429-Tabell2[[#This Row],[NIBR11-T]])/L$432))</f>
        <v>70</v>
      </c>
      <c r="V129" s="10">
        <f>(M$429-Tabell2[[#This Row],[ReisetidOslo-T]])*100/M$432</f>
        <v>69.281956519543996</v>
      </c>
      <c r="W129" s="10">
        <f>100-(N$429-Tabell2[[#This Row],[Beftettotal-T]])*100/N$432</f>
        <v>10.493577739733752</v>
      </c>
      <c r="X129" s="10">
        <f>100-(O$429-Tabell2[[#This Row],[Befvekst10-T]])*100/O$432</f>
        <v>24.078236204246551</v>
      </c>
      <c r="Y129" s="10">
        <f>100-(P$429-Tabell2[[#This Row],[Kvinneandel-T]])*100/P$432</f>
        <v>33.251322340756545</v>
      </c>
      <c r="Z129" s="10">
        <f>(Q$429-Tabell2[[#This Row],[Eldreandel-T]])*100/Q$432</f>
        <v>35.325630435219139</v>
      </c>
      <c r="AA129" s="10">
        <f>100-(R$429-Tabell2[[#This Row],[Sysselsettingsvekst10-T]])*100/R$432</f>
        <v>26.326664112206515</v>
      </c>
      <c r="AB129" s="10">
        <f>100-(S$429-Tabell2[[#This Row],[Yrkesaktivandel-T]])*100/S$432</f>
        <v>9.8285572445796276</v>
      </c>
      <c r="AC129" s="10">
        <f>100-(T$429-Tabell2[[#This Row],[Inntekt-T]])*100/T$432</f>
        <v>18.627124291902703</v>
      </c>
      <c r="AD12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35.700282870444752</v>
      </c>
    </row>
    <row r="130" spans="1:30" x14ac:dyDescent="0.25">
      <c r="A130" s="2" t="s">
        <v>124</v>
      </c>
      <c r="B130" s="2">
        <v>128</v>
      </c>
      <c r="C130">
        <f>'Rådata-K'!N129</f>
        <v>5</v>
      </c>
      <c r="D130" s="30">
        <f>'Rådata-K'!M129</f>
        <v>115</v>
      </c>
      <c r="E130" s="32">
        <f>'Rådata-K'!O129</f>
        <v>23.790889403898031</v>
      </c>
      <c r="F130" s="32">
        <f>'Rådata-K'!P129</f>
        <v>0.17419838739921234</v>
      </c>
      <c r="G130" s="32">
        <f>'Rådata-K'!Q129</f>
        <v>0.13957202171830085</v>
      </c>
      <c r="H130" s="32">
        <f>'Rådata-K'!R129</f>
        <v>0.15378473331204087</v>
      </c>
      <c r="I130" s="32">
        <f>'Rådata-K'!S129</f>
        <v>8.6617245415528732E-2</v>
      </c>
      <c r="J130" s="32">
        <f>'Rådata-K'!T129</f>
        <v>0.78275020341741253</v>
      </c>
      <c r="K130" s="67">
        <f>'Rådata-K'!L129</f>
        <v>378400</v>
      </c>
      <c r="L130" s="18">
        <f>Tabell2[[#This Row],[NIBR11]]</f>
        <v>5</v>
      </c>
      <c r="M130" s="32">
        <f>IF(Tabell2[[#This Row],[ReisetidOslo]]&lt;=D$427,D$427,IF(Tabell2[[#This Row],[ReisetidOslo]]&gt;=D$428,D$428,Tabell2[[#This Row],[ReisetidOslo]]))</f>
        <v>115</v>
      </c>
      <c r="N130" s="32">
        <f>IF(Tabell2[[#This Row],[Beftettotal]]&lt;=E$427,E$427,IF(Tabell2[[#This Row],[Beftettotal]]&gt;=E$428,E$428,Tabell2[[#This Row],[Beftettotal]]))</f>
        <v>23.790889403898031</v>
      </c>
      <c r="O130" s="32">
        <f>IF(Tabell2[[#This Row],[Befvekst10]]&lt;=F$427,F$427,IF(Tabell2[[#This Row],[Befvekst10]]&gt;=F$428,F$428,Tabell2[[#This Row],[Befvekst10]]))</f>
        <v>0.17419838739921234</v>
      </c>
      <c r="P130" s="32">
        <f>IF(Tabell2[[#This Row],[Kvinneandel]]&lt;=G$427,G$427,IF(Tabell2[[#This Row],[Kvinneandel]]&gt;=G$428,G$428,Tabell2[[#This Row],[Kvinneandel]]))</f>
        <v>0.12777681011054584</v>
      </c>
      <c r="Q130" s="32">
        <f>IF(Tabell2[[#This Row],[Eldreandel]]&lt;=H$427,H$427,IF(Tabell2[[#This Row],[Eldreandel]]&gt;=H$428,H$428,Tabell2[[#This Row],[Eldreandel]]))</f>
        <v>0.15378473331204087</v>
      </c>
      <c r="R130" s="32">
        <f>IF(Tabell2[[#This Row],[Sysselsettingsvekst10]]&lt;=I$427,I$427,IF(Tabell2[[#This Row],[Sysselsettingsvekst10]]&gt;=I$428,I$428,Tabell2[[#This Row],[Sysselsettingsvekst10]]))</f>
        <v>8.6617245415528732E-2</v>
      </c>
      <c r="S130" s="32">
        <f>IF(Tabell2[[#This Row],[Yrkesaktivandel]]&lt;=J$427,J$427,IF(Tabell2[[#This Row],[Yrkesaktivandel]]&gt;=J$428,J$428,Tabell2[[#This Row],[Yrkesaktivandel]]))</f>
        <v>0.7970451171433347</v>
      </c>
      <c r="T130" s="67">
        <f>IF(Tabell2[[#This Row],[Inntekt]]&lt;=K$427,K$427,IF(Tabell2[[#This Row],[Inntekt]]&gt;=K$428,K$428,Tabell2[[#This Row],[Inntekt]]))</f>
        <v>378400</v>
      </c>
      <c r="U130" s="10">
        <f>IF(Tabell2[[#This Row],[NIBR11-T]]&lt;=L$430,100,IF(Tabell2[[#This Row],[NIBR11-T]]&gt;=L$429,0,100*(L$429-Tabell2[[#This Row],[NIBR11-T]])/L$432))</f>
        <v>60</v>
      </c>
      <c r="V130" s="10">
        <f>(M$429-Tabell2[[#This Row],[ReisetidOslo-T]])*100/M$432</f>
        <v>73.98745872587925</v>
      </c>
      <c r="W130" s="10">
        <f>100-(N$429-Tabell2[[#This Row],[Beftettotal-T]])*100/N$432</f>
        <v>16.803253432566137</v>
      </c>
      <c r="X130" s="10">
        <f>100-(O$429-Tabell2[[#This Row],[Befvekst10-T]])*100/O$432</f>
        <v>98.528948528898511</v>
      </c>
      <c r="Y130" s="10">
        <f>100-(P$429-Tabell2[[#This Row],[Kvinneandel-T]])*100/P$432</f>
        <v>100</v>
      </c>
      <c r="Z130" s="10">
        <f>(Q$429-Tabell2[[#This Row],[Eldreandel-T]])*100/Q$432</f>
        <v>74.690888424670788</v>
      </c>
      <c r="AA130" s="10">
        <f>100-(R$429-Tabell2[[#This Row],[Sysselsettingsvekst10-T]])*100/R$432</f>
        <v>67.665769041751702</v>
      </c>
      <c r="AB130" s="10">
        <f>100-(S$429-Tabell2[[#This Row],[Yrkesaktivandel-T]])*100/S$432</f>
        <v>0</v>
      </c>
      <c r="AC130" s="10">
        <f>100-(T$429-Tabell2[[#This Row],[Inntekt-T]])*100/T$432</f>
        <v>21.403976452293676</v>
      </c>
      <c r="AD13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58.426379892262318</v>
      </c>
    </row>
    <row r="131" spans="1:30" x14ac:dyDescent="0.25">
      <c r="A131" s="2" t="s">
        <v>125</v>
      </c>
      <c r="B131" s="2">
        <v>129</v>
      </c>
      <c r="C131">
        <f>'Rådata-K'!N130</f>
        <v>5</v>
      </c>
      <c r="D131" s="30">
        <f>'Rådata-K'!M130</f>
        <v>111.796875</v>
      </c>
      <c r="E131" s="32">
        <f>'Rådata-K'!O130</f>
        <v>13.424221626006114</v>
      </c>
      <c r="F131" s="32">
        <f>'Rådata-K'!P130</f>
        <v>6.0790273556230456E-3</v>
      </c>
      <c r="G131" s="32">
        <f>'Rådata-K'!Q130</f>
        <v>0.10388101324657216</v>
      </c>
      <c r="H131" s="32">
        <f>'Rådata-K'!R130</f>
        <v>0.17801533813618406</v>
      </c>
      <c r="I131" s="32">
        <f>'Rådata-K'!S130</f>
        <v>-0.10612244897959189</v>
      </c>
      <c r="J131" s="32">
        <f>'Rådata-K'!T130</f>
        <v>0.81921824104234531</v>
      </c>
      <c r="K131" s="67">
        <f>'Rådata-K'!L130</f>
        <v>376100</v>
      </c>
      <c r="L131" s="18">
        <f>Tabell2[[#This Row],[NIBR11]]</f>
        <v>5</v>
      </c>
      <c r="M131" s="32">
        <f>IF(Tabell2[[#This Row],[ReisetidOslo]]&lt;=D$427,D$427,IF(Tabell2[[#This Row],[ReisetidOslo]]&gt;=D$428,D$428,Tabell2[[#This Row],[ReisetidOslo]]))</f>
        <v>111.796875</v>
      </c>
      <c r="N131" s="32">
        <f>IF(Tabell2[[#This Row],[Beftettotal]]&lt;=E$427,E$427,IF(Tabell2[[#This Row],[Beftettotal]]&gt;=E$428,E$428,Tabell2[[#This Row],[Beftettotal]]))</f>
        <v>13.424221626006114</v>
      </c>
      <c r="O131" s="32">
        <f>IF(Tabell2[[#This Row],[Befvekst10]]&lt;=F$427,F$427,IF(Tabell2[[#This Row],[Befvekst10]]&gt;=F$428,F$428,Tabell2[[#This Row],[Befvekst10]]))</f>
        <v>6.0790273556230456E-3</v>
      </c>
      <c r="P131" s="32">
        <f>IF(Tabell2[[#This Row],[Kvinneandel]]&lt;=G$427,G$427,IF(Tabell2[[#This Row],[Kvinneandel]]&gt;=G$428,G$428,Tabell2[[#This Row],[Kvinneandel]]))</f>
        <v>0.10388101324657216</v>
      </c>
      <c r="Q131" s="32">
        <f>IF(Tabell2[[#This Row],[Eldreandel]]&lt;=H$427,H$427,IF(Tabell2[[#This Row],[Eldreandel]]&gt;=H$428,H$428,Tabell2[[#This Row],[Eldreandel]]))</f>
        <v>0.17801533813618406</v>
      </c>
      <c r="R131" s="32">
        <f>IF(Tabell2[[#This Row],[Sysselsettingsvekst10]]&lt;=I$427,I$427,IF(Tabell2[[#This Row],[Sysselsettingsvekst10]]&gt;=I$428,I$428,Tabell2[[#This Row],[Sysselsettingsvekst10]]))</f>
        <v>-0.10612244897959189</v>
      </c>
      <c r="S131" s="32">
        <f>IF(Tabell2[[#This Row],[Yrkesaktivandel]]&lt;=J$427,J$427,IF(Tabell2[[#This Row],[Yrkesaktivandel]]&gt;=J$428,J$428,Tabell2[[#This Row],[Yrkesaktivandel]]))</f>
        <v>0.81921824104234531</v>
      </c>
      <c r="T131" s="67">
        <f>IF(Tabell2[[#This Row],[Inntekt]]&lt;=K$427,K$427,IF(Tabell2[[#This Row],[Inntekt]]&gt;=K$428,K$428,Tabell2[[#This Row],[Inntekt]]))</f>
        <v>376100</v>
      </c>
      <c r="U131" s="10">
        <f>IF(Tabell2[[#This Row],[NIBR11-T]]&lt;=L$430,100,IF(Tabell2[[#This Row],[NIBR11-T]]&gt;=L$429,0,100*(L$429-Tabell2[[#This Row],[NIBR11-T]])/L$432))</f>
        <v>60</v>
      </c>
      <c r="V131" s="10">
        <f>(M$429-Tabell2[[#This Row],[ReisetidOslo-T]])*100/M$432</f>
        <v>75.367470102558414</v>
      </c>
      <c r="W131" s="10">
        <f>100-(N$429-Tabell2[[#This Row],[Beftettotal-T]])*100/N$432</f>
        <v>9.0769151757009467</v>
      </c>
      <c r="X131" s="10">
        <f>100-(O$429-Tabell2[[#This Row],[Befvekst10-T]])*100/O$432</f>
        <v>26.107363970544995</v>
      </c>
      <c r="Y131" s="10">
        <f>100-(P$429-Tabell2[[#This Row],[Kvinneandel-T]])*100/P$432</f>
        <v>36.883955448312015</v>
      </c>
      <c r="Z131" s="10">
        <f>(Q$429-Tabell2[[#This Row],[Eldreandel-T]])*100/Q$432</f>
        <v>48.555460756476641</v>
      </c>
      <c r="AA131" s="10">
        <f>100-(R$429-Tabell2[[#This Row],[Sysselsettingsvekst10-T]])*100/R$432</f>
        <v>0.23691718469774514</v>
      </c>
      <c r="AB131" s="10">
        <f>100-(S$429-Tabell2[[#This Row],[Yrkesaktivandel-T]])*100/S$432</f>
        <v>17.198447405373543</v>
      </c>
      <c r="AC131" s="10">
        <f>100-(T$429-Tabell2[[#This Row],[Inntekt-T]])*100/T$432</f>
        <v>18.849272464733971</v>
      </c>
      <c r="AD13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33.566345837654893</v>
      </c>
    </row>
    <row r="132" spans="1:30" x14ac:dyDescent="0.25">
      <c r="A132" s="2" t="s">
        <v>126</v>
      </c>
      <c r="B132" s="2">
        <v>130</v>
      </c>
      <c r="C132">
        <f>'Rådata-K'!N131</f>
        <v>9</v>
      </c>
      <c r="D132" s="30">
        <f>'Rådata-K'!M131</f>
        <v>136.78125</v>
      </c>
      <c r="E132" s="32">
        <f>'Rådata-K'!O131</f>
        <v>2.8819542916377365</v>
      </c>
      <c r="F132" s="32">
        <f>'Rådata-K'!P131</f>
        <v>-3.6928104575163379E-2</v>
      </c>
      <c r="G132" s="32">
        <f>'Rådata-K'!Q131</f>
        <v>9.3654563963352561E-2</v>
      </c>
      <c r="H132" s="32">
        <f>'Rådata-K'!R131</f>
        <v>0.19562266711910417</v>
      </c>
      <c r="I132" s="32">
        <f>'Rådata-K'!S131</f>
        <v>-8.4860828241683617E-2</v>
      </c>
      <c r="J132" s="32">
        <f>'Rådata-K'!T131</f>
        <v>0.87278287461773696</v>
      </c>
      <c r="K132" s="67">
        <f>'Rådata-K'!L131</f>
        <v>386100</v>
      </c>
      <c r="L132" s="18">
        <f>Tabell2[[#This Row],[NIBR11]]</f>
        <v>9</v>
      </c>
      <c r="M132" s="32">
        <f>IF(Tabell2[[#This Row],[ReisetidOslo]]&lt;=D$427,D$427,IF(Tabell2[[#This Row],[ReisetidOslo]]&gt;=D$428,D$428,Tabell2[[#This Row],[ReisetidOslo]]))</f>
        <v>136.78125</v>
      </c>
      <c r="N132" s="32">
        <f>IF(Tabell2[[#This Row],[Beftettotal]]&lt;=E$427,E$427,IF(Tabell2[[#This Row],[Beftettotal]]&gt;=E$428,E$428,Tabell2[[#This Row],[Beftettotal]]))</f>
        <v>2.8819542916377365</v>
      </c>
      <c r="O132" s="32">
        <f>IF(Tabell2[[#This Row],[Befvekst10]]&lt;=F$427,F$427,IF(Tabell2[[#This Row],[Befvekst10]]&gt;=F$428,F$428,Tabell2[[#This Row],[Befvekst10]]))</f>
        <v>-3.6928104575163379E-2</v>
      </c>
      <c r="P132" s="32">
        <f>IF(Tabell2[[#This Row],[Kvinneandel]]&lt;=G$427,G$427,IF(Tabell2[[#This Row],[Kvinneandel]]&gt;=G$428,G$428,Tabell2[[#This Row],[Kvinneandel]]))</f>
        <v>9.3654563963352561E-2</v>
      </c>
      <c r="Q132" s="32">
        <f>IF(Tabell2[[#This Row],[Eldreandel]]&lt;=H$427,H$427,IF(Tabell2[[#This Row],[Eldreandel]]&gt;=H$428,H$428,Tabell2[[#This Row],[Eldreandel]]))</f>
        <v>0.19562266711910417</v>
      </c>
      <c r="R132" s="32">
        <f>IF(Tabell2[[#This Row],[Sysselsettingsvekst10]]&lt;=I$427,I$427,IF(Tabell2[[#This Row],[Sysselsettingsvekst10]]&gt;=I$428,I$428,Tabell2[[#This Row],[Sysselsettingsvekst10]]))</f>
        <v>-8.4860828241683617E-2</v>
      </c>
      <c r="S132" s="32">
        <f>IF(Tabell2[[#This Row],[Yrkesaktivandel]]&lt;=J$427,J$427,IF(Tabell2[[#This Row],[Yrkesaktivandel]]&gt;=J$428,J$428,Tabell2[[#This Row],[Yrkesaktivandel]]))</f>
        <v>0.87278287461773696</v>
      </c>
      <c r="T132" s="67">
        <f>IF(Tabell2[[#This Row],[Inntekt]]&lt;=K$427,K$427,IF(Tabell2[[#This Row],[Inntekt]]&gt;=K$428,K$428,Tabell2[[#This Row],[Inntekt]]))</f>
        <v>386100</v>
      </c>
      <c r="U132" s="10">
        <f>IF(Tabell2[[#This Row],[NIBR11-T]]&lt;=L$430,100,IF(Tabell2[[#This Row],[NIBR11-T]]&gt;=L$429,0,100*(L$429-Tabell2[[#This Row],[NIBR11-T]])/L$432))</f>
        <v>20</v>
      </c>
      <c r="V132" s="10">
        <f>(M$429-Tabell2[[#This Row],[ReisetidOslo-T]])*100/M$432</f>
        <v>64.603381364461015</v>
      </c>
      <c r="W132" s="10">
        <f>100-(N$429-Tabell2[[#This Row],[Beftettotal-T]])*100/N$432</f>
        <v>1.2197015401546594</v>
      </c>
      <c r="X132" s="10">
        <f>100-(O$429-Tabell2[[#This Row],[Befvekst10-T]])*100/O$432</f>
        <v>7.5809750946287267</v>
      </c>
      <c r="Y132" s="10">
        <f>100-(P$429-Tabell2[[#This Row],[Kvinneandel-T]])*100/P$432</f>
        <v>9.8728023053767231</v>
      </c>
      <c r="Z132" s="10">
        <f>(Q$429-Tabell2[[#This Row],[Eldreandel-T]])*100/Q$432</f>
        <v>29.563979676949813</v>
      </c>
      <c r="AA132" s="10">
        <f>100-(R$429-Tabell2[[#This Row],[Sysselsettingsvekst10-T]])*100/R$432</f>
        <v>7.6751705215442598</v>
      </c>
      <c r="AB132" s="10">
        <f>100-(S$429-Tabell2[[#This Row],[Yrkesaktivandel-T]])*100/S$432</f>
        <v>58.745526541822443</v>
      </c>
      <c r="AC132" s="10">
        <f>100-(T$429-Tabell2[[#This Row],[Inntekt-T]])*100/T$432</f>
        <v>29.956681106297907</v>
      </c>
      <c r="AD13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23.708080225470102</v>
      </c>
    </row>
    <row r="133" spans="1:30" x14ac:dyDescent="0.25">
      <c r="A133" s="2" t="s">
        <v>127</v>
      </c>
      <c r="B133" s="2">
        <v>131</v>
      </c>
      <c r="C133">
        <f>'Rådata-K'!N132</f>
        <v>5</v>
      </c>
      <c r="D133" s="30">
        <f>'Rådata-K'!M132</f>
        <v>108.59375</v>
      </c>
      <c r="E133" s="32">
        <f>'Rådata-K'!O132</f>
        <v>2.0123799898938857</v>
      </c>
      <c r="F133" s="32">
        <f>'Rådata-K'!P132</f>
        <v>-1.6059295861643008E-2</v>
      </c>
      <c r="G133" s="32">
        <f>'Rådata-K'!Q132</f>
        <v>9.2906465787821718E-2</v>
      </c>
      <c r="H133" s="32">
        <f>'Rådata-K'!R132</f>
        <v>0.20903954802259886</v>
      </c>
      <c r="I133" s="32">
        <f>'Rådata-K'!S132</f>
        <v>0.17627118644067807</v>
      </c>
      <c r="J133" s="32">
        <f>'Rådata-K'!T132</f>
        <v>0.88823529411764701</v>
      </c>
      <c r="K133" s="67">
        <f>'Rådata-K'!L132</f>
        <v>389000</v>
      </c>
      <c r="L133" s="18">
        <f>Tabell2[[#This Row],[NIBR11]]</f>
        <v>5</v>
      </c>
      <c r="M133" s="32">
        <f>IF(Tabell2[[#This Row],[ReisetidOslo]]&lt;=D$427,D$427,IF(Tabell2[[#This Row],[ReisetidOslo]]&gt;=D$428,D$428,Tabell2[[#This Row],[ReisetidOslo]]))</f>
        <v>108.59375</v>
      </c>
      <c r="N133" s="32">
        <f>IF(Tabell2[[#This Row],[Beftettotal]]&lt;=E$427,E$427,IF(Tabell2[[#This Row],[Beftettotal]]&gt;=E$428,E$428,Tabell2[[#This Row],[Beftettotal]]))</f>
        <v>2.0123799898938857</v>
      </c>
      <c r="O133" s="32">
        <f>IF(Tabell2[[#This Row],[Befvekst10]]&lt;=F$427,F$427,IF(Tabell2[[#This Row],[Befvekst10]]&gt;=F$428,F$428,Tabell2[[#This Row],[Befvekst10]]))</f>
        <v>-1.6059295861643008E-2</v>
      </c>
      <c r="P133" s="32">
        <f>IF(Tabell2[[#This Row],[Kvinneandel]]&lt;=G$427,G$427,IF(Tabell2[[#This Row],[Kvinneandel]]&gt;=G$428,G$428,Tabell2[[#This Row],[Kvinneandel]]))</f>
        <v>9.2906465787821718E-2</v>
      </c>
      <c r="Q133" s="32">
        <f>IF(Tabell2[[#This Row],[Eldreandel]]&lt;=H$427,H$427,IF(Tabell2[[#This Row],[Eldreandel]]&gt;=H$428,H$428,Tabell2[[#This Row],[Eldreandel]]))</f>
        <v>0.20903954802259886</v>
      </c>
      <c r="R133" s="32">
        <f>IF(Tabell2[[#This Row],[Sysselsettingsvekst10]]&lt;=I$427,I$427,IF(Tabell2[[#This Row],[Sysselsettingsvekst10]]&gt;=I$428,I$428,Tabell2[[#This Row],[Sysselsettingsvekst10]]))</f>
        <v>0.17627118644067807</v>
      </c>
      <c r="S133" s="32">
        <f>IF(Tabell2[[#This Row],[Yrkesaktivandel]]&lt;=J$427,J$427,IF(Tabell2[[#This Row],[Yrkesaktivandel]]&gt;=J$428,J$428,Tabell2[[#This Row],[Yrkesaktivandel]]))</f>
        <v>0.88823529411764701</v>
      </c>
      <c r="T133" s="67">
        <f>IF(Tabell2[[#This Row],[Inntekt]]&lt;=K$427,K$427,IF(Tabell2[[#This Row],[Inntekt]]&gt;=K$428,K$428,Tabell2[[#This Row],[Inntekt]]))</f>
        <v>389000</v>
      </c>
      <c r="U133" s="10">
        <f>IF(Tabell2[[#This Row],[NIBR11-T]]&lt;=L$430,100,IF(Tabell2[[#This Row],[NIBR11-T]]&gt;=L$429,0,100*(L$429-Tabell2[[#This Row],[NIBR11-T]])/L$432))</f>
        <v>60</v>
      </c>
      <c r="V133" s="10">
        <f>(M$429-Tabell2[[#This Row],[ReisetidOslo-T]])*100/M$432</f>
        <v>76.747481479237564</v>
      </c>
      <c r="W133" s="10">
        <f>100-(N$429-Tabell2[[#This Row],[Beftettotal-T]])*100/N$432</f>
        <v>0.57160271624148606</v>
      </c>
      <c r="X133" s="10">
        <f>100-(O$429-Tabell2[[#This Row],[Befvekst10-T]])*100/O$432</f>
        <v>16.570732101117827</v>
      </c>
      <c r="Y133" s="10">
        <f>100-(P$429-Tabell2[[#This Row],[Kvinneandel-T]])*100/P$432</f>
        <v>7.896848205807558</v>
      </c>
      <c r="Z133" s="10">
        <f>(Q$429-Tabell2[[#This Row],[Eldreandel-T]])*100/Q$432</f>
        <v>15.092367311885367</v>
      </c>
      <c r="AA133" s="10">
        <f>100-(R$429-Tabell2[[#This Row],[Sysselsettingsvekst10-T]])*100/R$432</f>
        <v>99.030674577987142</v>
      </c>
      <c r="AB133" s="10">
        <f>100-(S$429-Tabell2[[#This Row],[Yrkesaktivandel-T]])*100/S$432</f>
        <v>70.731100846344788</v>
      </c>
      <c r="AC133" s="10">
        <f>100-(T$429-Tabell2[[#This Row],[Inntekt-T]])*100/T$432</f>
        <v>33.177829612351445</v>
      </c>
      <c r="AD13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44.489476119324458</v>
      </c>
    </row>
    <row r="134" spans="1:30" x14ac:dyDescent="0.25">
      <c r="A134" s="2" t="s">
        <v>128</v>
      </c>
      <c r="B134" s="2">
        <v>132</v>
      </c>
      <c r="C134">
        <f>'Rådata-K'!N133</f>
        <v>10</v>
      </c>
      <c r="D134" s="30">
        <f>'Rådata-K'!M133</f>
        <v>135.625</v>
      </c>
      <c r="E134" s="32">
        <f>'Rådata-K'!O133</f>
        <v>4.1659091862562754</v>
      </c>
      <c r="F134" s="32">
        <f>'Rådata-K'!P133</f>
        <v>1.568360040913741E-2</v>
      </c>
      <c r="G134" s="32">
        <f>'Rådata-K'!Q133</f>
        <v>9.8019469620678076E-2</v>
      </c>
      <c r="H134" s="32">
        <f>'Rådata-K'!R133</f>
        <v>0.19301779120510237</v>
      </c>
      <c r="I134" s="32">
        <f>'Rådata-K'!S133</f>
        <v>-5.4122089364380122E-2</v>
      </c>
      <c r="J134" s="32">
        <f>'Rådata-K'!T133</f>
        <v>0.89244007375537804</v>
      </c>
      <c r="K134" s="67">
        <f>'Rådata-K'!L133</f>
        <v>401000</v>
      </c>
      <c r="L134" s="18">
        <f>Tabell2[[#This Row],[NIBR11]]</f>
        <v>10</v>
      </c>
      <c r="M134" s="32">
        <f>IF(Tabell2[[#This Row],[ReisetidOslo]]&lt;=D$427,D$427,IF(Tabell2[[#This Row],[ReisetidOslo]]&gt;=D$428,D$428,Tabell2[[#This Row],[ReisetidOslo]]))</f>
        <v>135.625</v>
      </c>
      <c r="N134" s="32">
        <f>IF(Tabell2[[#This Row],[Beftettotal]]&lt;=E$427,E$427,IF(Tabell2[[#This Row],[Beftettotal]]&gt;=E$428,E$428,Tabell2[[#This Row],[Beftettotal]]))</f>
        <v>4.1659091862562754</v>
      </c>
      <c r="O134" s="32">
        <f>IF(Tabell2[[#This Row],[Befvekst10]]&lt;=F$427,F$427,IF(Tabell2[[#This Row],[Befvekst10]]&gt;=F$428,F$428,Tabell2[[#This Row],[Befvekst10]]))</f>
        <v>1.568360040913741E-2</v>
      </c>
      <c r="P134" s="32">
        <f>IF(Tabell2[[#This Row],[Kvinneandel]]&lt;=G$427,G$427,IF(Tabell2[[#This Row],[Kvinneandel]]&gt;=G$428,G$428,Tabell2[[#This Row],[Kvinneandel]]))</f>
        <v>9.8019469620678076E-2</v>
      </c>
      <c r="Q134" s="32">
        <f>IF(Tabell2[[#This Row],[Eldreandel]]&lt;=H$427,H$427,IF(Tabell2[[#This Row],[Eldreandel]]&gt;=H$428,H$428,Tabell2[[#This Row],[Eldreandel]]))</f>
        <v>0.19301779120510237</v>
      </c>
      <c r="R134" s="32">
        <f>IF(Tabell2[[#This Row],[Sysselsettingsvekst10]]&lt;=I$427,I$427,IF(Tabell2[[#This Row],[Sysselsettingsvekst10]]&gt;=I$428,I$428,Tabell2[[#This Row],[Sysselsettingsvekst10]]))</f>
        <v>-5.4122089364380122E-2</v>
      </c>
      <c r="S134" s="32">
        <f>IF(Tabell2[[#This Row],[Yrkesaktivandel]]&lt;=J$427,J$427,IF(Tabell2[[#This Row],[Yrkesaktivandel]]&gt;=J$428,J$428,Tabell2[[#This Row],[Yrkesaktivandel]]))</f>
        <v>0.89244007375537804</v>
      </c>
      <c r="T134" s="67">
        <f>IF(Tabell2[[#This Row],[Inntekt]]&lt;=K$427,K$427,IF(Tabell2[[#This Row],[Inntekt]]&gt;=K$428,K$428,Tabell2[[#This Row],[Inntekt]]))</f>
        <v>401000</v>
      </c>
      <c r="U134" s="10">
        <f>IF(Tabell2[[#This Row],[NIBR11-T]]&lt;=L$430,100,IF(Tabell2[[#This Row],[NIBR11-T]]&gt;=L$429,0,100*(L$429-Tabell2[[#This Row],[NIBR11-T]])/L$432))</f>
        <v>10</v>
      </c>
      <c r="V134" s="10">
        <f>(M$429-Tabell2[[#This Row],[ReisetidOslo-T]])*100/M$432</f>
        <v>65.101531812628124</v>
      </c>
      <c r="W134" s="10">
        <f>100-(N$429-Tabell2[[#This Row],[Beftettotal-T]])*100/N$432</f>
        <v>2.1766406487404169</v>
      </c>
      <c r="X134" s="10">
        <f>100-(O$429-Tabell2[[#This Row],[Befvekst10-T]])*100/O$432</f>
        <v>30.244772055857879</v>
      </c>
      <c r="Y134" s="10">
        <f>100-(P$429-Tabell2[[#This Row],[Kvinneandel-T]])*100/P$432</f>
        <v>21.401841554409728</v>
      </c>
      <c r="Z134" s="10">
        <f>(Q$429-Tabell2[[#This Row],[Eldreandel-T]])*100/Q$432</f>
        <v>32.373630799119951</v>
      </c>
      <c r="AA134" s="10">
        <f>100-(R$429-Tabell2[[#This Row],[Sysselsettingsvekst10-T]])*100/R$432</f>
        <v>18.428938065563116</v>
      </c>
      <c r="AB134" s="10">
        <f>100-(S$429-Tabell2[[#This Row],[Yrkesaktivandel-T]])*100/S$432</f>
        <v>73.992512354261791</v>
      </c>
      <c r="AC134" s="10">
        <f>100-(T$429-Tabell2[[#This Row],[Inntekt-T]])*100/T$432</f>
        <v>46.506719982228148</v>
      </c>
      <c r="AD13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31.358362315190224</v>
      </c>
    </row>
    <row r="135" spans="1:30" x14ac:dyDescent="0.25">
      <c r="A135" s="2" t="s">
        <v>129</v>
      </c>
      <c r="B135" s="2">
        <v>133</v>
      </c>
      <c r="C135">
        <f>'Rådata-K'!N134</f>
        <v>10</v>
      </c>
      <c r="D135" s="30">
        <f>'Rådata-K'!M134</f>
        <v>148.75</v>
      </c>
      <c r="E135" s="32">
        <f>'Rådata-K'!O134</f>
        <v>3.4469130226124269</v>
      </c>
      <c r="F135" s="32">
        <f>'Rådata-K'!P134</f>
        <v>-3.933910306845001E-2</v>
      </c>
      <c r="G135" s="32">
        <f>'Rådata-K'!Q134</f>
        <v>8.681408681408681E-2</v>
      </c>
      <c r="H135" s="32">
        <f>'Rådata-K'!R134</f>
        <v>0.19615069615069616</v>
      </c>
      <c r="I135" s="32">
        <f>'Rådata-K'!S134</f>
        <v>-5.5705300988319828E-2</v>
      </c>
      <c r="J135" s="32">
        <f>'Rådata-K'!T134</f>
        <v>0.88436830835117775</v>
      </c>
      <c r="K135" s="67">
        <f>'Rådata-K'!L134</f>
        <v>381000</v>
      </c>
      <c r="L135" s="18">
        <f>Tabell2[[#This Row],[NIBR11]]</f>
        <v>10</v>
      </c>
      <c r="M135" s="32">
        <f>IF(Tabell2[[#This Row],[ReisetidOslo]]&lt;=D$427,D$427,IF(Tabell2[[#This Row],[ReisetidOslo]]&gt;=D$428,D$428,Tabell2[[#This Row],[ReisetidOslo]]))</f>
        <v>148.75</v>
      </c>
      <c r="N135" s="32">
        <f>IF(Tabell2[[#This Row],[Beftettotal]]&lt;=E$427,E$427,IF(Tabell2[[#This Row],[Beftettotal]]&gt;=E$428,E$428,Tabell2[[#This Row],[Beftettotal]]))</f>
        <v>3.4469130226124269</v>
      </c>
      <c r="O135" s="32">
        <f>IF(Tabell2[[#This Row],[Befvekst10]]&lt;=F$427,F$427,IF(Tabell2[[#This Row],[Befvekst10]]&gt;=F$428,F$428,Tabell2[[#This Row],[Befvekst10]]))</f>
        <v>-3.933910306845001E-2</v>
      </c>
      <c r="P135" s="32">
        <f>IF(Tabell2[[#This Row],[Kvinneandel]]&lt;=G$427,G$427,IF(Tabell2[[#This Row],[Kvinneandel]]&gt;=G$428,G$428,Tabell2[[#This Row],[Kvinneandel]]))</f>
        <v>8.9916711250255951E-2</v>
      </c>
      <c r="Q135" s="32">
        <f>IF(Tabell2[[#This Row],[Eldreandel]]&lt;=H$427,H$427,IF(Tabell2[[#This Row],[Eldreandel]]&gt;=H$428,H$428,Tabell2[[#This Row],[Eldreandel]]))</f>
        <v>0.19615069615069616</v>
      </c>
      <c r="R135" s="32">
        <f>IF(Tabell2[[#This Row],[Sysselsettingsvekst10]]&lt;=I$427,I$427,IF(Tabell2[[#This Row],[Sysselsettingsvekst10]]&gt;=I$428,I$428,Tabell2[[#This Row],[Sysselsettingsvekst10]]))</f>
        <v>-5.5705300988319828E-2</v>
      </c>
      <c r="S135" s="32">
        <f>IF(Tabell2[[#This Row],[Yrkesaktivandel]]&lt;=J$427,J$427,IF(Tabell2[[#This Row],[Yrkesaktivandel]]&gt;=J$428,J$428,Tabell2[[#This Row],[Yrkesaktivandel]]))</f>
        <v>0.88436830835117775</v>
      </c>
      <c r="T135" s="67">
        <f>IF(Tabell2[[#This Row],[Inntekt]]&lt;=K$427,K$427,IF(Tabell2[[#This Row],[Inntekt]]&gt;=K$428,K$428,Tabell2[[#This Row],[Inntekt]]))</f>
        <v>381000</v>
      </c>
      <c r="U135" s="10">
        <f>IF(Tabell2[[#This Row],[NIBR11-T]]&lt;=L$430,100,IF(Tabell2[[#This Row],[NIBR11-T]]&gt;=L$429,0,100*(L$429-Tabell2[[#This Row],[NIBR11-T]])/L$432))</f>
        <v>10</v>
      </c>
      <c r="V135" s="10">
        <f>(M$429-Tabell2[[#This Row],[ReisetidOslo-T]])*100/M$432</f>
        <v>59.446851049650121</v>
      </c>
      <c r="W135" s="10">
        <f>100-(N$429-Tabell2[[#This Row],[Beftettotal-T]])*100/N$432</f>
        <v>1.640768593734677</v>
      </c>
      <c r="X135" s="10">
        <f>100-(O$429-Tabell2[[#This Row],[Befvekst10-T]])*100/O$432</f>
        <v>6.5423776885575364</v>
      </c>
      <c r="Y135" s="10">
        <f>100-(P$429-Tabell2[[#This Row],[Kvinneandel-T]])*100/P$432</f>
        <v>0</v>
      </c>
      <c r="Z135" s="10">
        <f>(Q$429-Tabell2[[#This Row],[Eldreandel-T]])*100/Q$432</f>
        <v>28.994441084659758</v>
      </c>
      <c r="AA135" s="10">
        <f>100-(R$429-Tabell2[[#This Row],[Sysselsettingsvekst10-T]])*100/R$432</f>
        <v>17.875060762893185</v>
      </c>
      <c r="AB135" s="10">
        <f>100-(S$429-Tabell2[[#This Row],[Yrkesaktivandel-T]])*100/S$432</f>
        <v>67.731697080557979</v>
      </c>
      <c r="AC135" s="10">
        <f>100-(T$429-Tabell2[[#This Row],[Inntekt-T]])*100/T$432</f>
        <v>24.291902699100305</v>
      </c>
      <c r="AD13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21.856825610538124</v>
      </c>
    </row>
    <row r="136" spans="1:30" x14ac:dyDescent="0.25">
      <c r="A136" s="2" t="s">
        <v>130</v>
      </c>
      <c r="B136" s="2">
        <v>134</v>
      </c>
      <c r="C136">
        <f>'Rådata-K'!N135</f>
        <v>11</v>
      </c>
      <c r="D136" s="30">
        <f>'Rådata-K'!M135</f>
        <v>173.5</v>
      </c>
      <c r="E136" s="32">
        <f>'Rådata-K'!O135</f>
        <v>1.6306149053226984</v>
      </c>
      <c r="F136" s="32">
        <f>'Rådata-K'!P135</f>
        <v>7.3454545454545439E-2</v>
      </c>
      <c r="G136" s="32">
        <f>'Rådata-K'!Q135</f>
        <v>0.1002710027100271</v>
      </c>
      <c r="H136" s="32">
        <f>'Rådata-K'!R135</f>
        <v>0.17682926829268292</v>
      </c>
      <c r="I136" s="32">
        <f>'Rådata-K'!S135</f>
        <v>0.1206896551724137</v>
      </c>
      <c r="J136" s="32">
        <f>'Rådata-K'!T135</f>
        <v>0.87142857142857144</v>
      </c>
      <c r="K136" s="67">
        <f>'Rådata-K'!L135</f>
        <v>382900</v>
      </c>
      <c r="L136" s="18">
        <f>Tabell2[[#This Row],[NIBR11]]</f>
        <v>11</v>
      </c>
      <c r="M136" s="32">
        <f>IF(Tabell2[[#This Row],[ReisetidOslo]]&lt;=D$427,D$427,IF(Tabell2[[#This Row],[ReisetidOslo]]&gt;=D$428,D$428,Tabell2[[#This Row],[ReisetidOslo]]))</f>
        <v>173.5</v>
      </c>
      <c r="N136" s="32">
        <f>IF(Tabell2[[#This Row],[Beftettotal]]&lt;=E$427,E$427,IF(Tabell2[[#This Row],[Beftettotal]]&gt;=E$428,E$428,Tabell2[[#This Row],[Beftettotal]]))</f>
        <v>1.6306149053226984</v>
      </c>
      <c r="O136" s="32">
        <f>IF(Tabell2[[#This Row],[Befvekst10]]&lt;=F$427,F$427,IF(Tabell2[[#This Row],[Befvekst10]]&gt;=F$428,F$428,Tabell2[[#This Row],[Befvekst10]]))</f>
        <v>7.3454545454545439E-2</v>
      </c>
      <c r="P136" s="32">
        <f>IF(Tabell2[[#This Row],[Kvinneandel]]&lt;=G$427,G$427,IF(Tabell2[[#This Row],[Kvinneandel]]&gt;=G$428,G$428,Tabell2[[#This Row],[Kvinneandel]]))</f>
        <v>0.1002710027100271</v>
      </c>
      <c r="Q136" s="32">
        <f>IF(Tabell2[[#This Row],[Eldreandel]]&lt;=H$427,H$427,IF(Tabell2[[#This Row],[Eldreandel]]&gt;=H$428,H$428,Tabell2[[#This Row],[Eldreandel]]))</f>
        <v>0.17682926829268292</v>
      </c>
      <c r="R136" s="32">
        <f>IF(Tabell2[[#This Row],[Sysselsettingsvekst10]]&lt;=I$427,I$427,IF(Tabell2[[#This Row],[Sysselsettingsvekst10]]&gt;=I$428,I$428,Tabell2[[#This Row],[Sysselsettingsvekst10]]))</f>
        <v>0.1206896551724137</v>
      </c>
      <c r="S136" s="32">
        <f>IF(Tabell2[[#This Row],[Yrkesaktivandel]]&lt;=J$427,J$427,IF(Tabell2[[#This Row],[Yrkesaktivandel]]&gt;=J$428,J$428,Tabell2[[#This Row],[Yrkesaktivandel]]))</f>
        <v>0.87142857142857144</v>
      </c>
      <c r="T136" s="67">
        <f>IF(Tabell2[[#This Row],[Inntekt]]&lt;=K$427,K$427,IF(Tabell2[[#This Row],[Inntekt]]&gt;=K$428,K$428,Tabell2[[#This Row],[Inntekt]]))</f>
        <v>382900</v>
      </c>
      <c r="U136" s="10">
        <f>IF(Tabell2[[#This Row],[NIBR11-T]]&lt;=L$430,100,IF(Tabell2[[#This Row],[NIBR11-T]]&gt;=L$429,0,100*(L$429-Tabell2[[#This Row],[NIBR11-T]])/L$432))</f>
        <v>0</v>
      </c>
      <c r="V136" s="10">
        <f>(M$429-Tabell2[[#This Row],[ReisetidOslo-T]])*100/M$432</f>
        <v>48.783738753748757</v>
      </c>
      <c r="W136" s="10">
        <f>100-(N$429-Tabell2[[#This Row],[Beftettotal-T]])*100/N$432</f>
        <v>0.28707096107632424</v>
      </c>
      <c r="X136" s="10">
        <f>100-(O$429-Tabell2[[#This Row],[Befvekst10-T]])*100/O$432</f>
        <v>55.131039648937204</v>
      </c>
      <c r="Y136" s="10">
        <f>100-(P$429-Tabell2[[#This Row],[Kvinneandel-T]])*100/P$432</f>
        <v>27.348823092037406</v>
      </c>
      <c r="Z136" s="10">
        <f>(Q$429-Tabell2[[#This Row],[Eldreandel-T]])*100/Q$432</f>
        <v>49.834770242526446</v>
      </c>
      <c r="AA136" s="10">
        <f>100-(R$429-Tabell2[[#This Row],[Sysselsettingsvekst10-T]])*100/R$432</f>
        <v>79.585801794319963</v>
      </c>
      <c r="AB136" s="10">
        <f>100-(S$429-Tabell2[[#This Row],[Yrkesaktivandel-T]])*100/S$432</f>
        <v>57.695069588806817</v>
      </c>
      <c r="AC136" s="10">
        <f>100-(T$429-Tabell2[[#This Row],[Inntekt-T]])*100/T$432</f>
        <v>26.402310340997445</v>
      </c>
      <c r="AD13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36.160786740410565</v>
      </c>
    </row>
    <row r="137" spans="1:30" x14ac:dyDescent="0.25">
      <c r="A137" s="2" t="s">
        <v>131</v>
      </c>
      <c r="B137" s="2">
        <v>135</v>
      </c>
      <c r="C137">
        <f>'Rådata-K'!N136</f>
        <v>11</v>
      </c>
      <c r="D137" s="30">
        <f>'Rådata-K'!M136</f>
        <v>194.375</v>
      </c>
      <c r="E137" s="32">
        <f>'Rådata-K'!O136</f>
        <v>1.0303560548065056</v>
      </c>
      <c r="F137" s="32">
        <f>'Rådata-K'!P136</f>
        <v>-3.2281731474688158E-2</v>
      </c>
      <c r="G137" s="32">
        <f>'Rådata-K'!Q136</f>
        <v>0.10159211523881728</v>
      </c>
      <c r="H137" s="32">
        <f>'Rådata-K'!R136</f>
        <v>0.18043972706595907</v>
      </c>
      <c r="I137" s="32">
        <f>'Rådata-K'!S136</f>
        <v>-0.13344887348353551</v>
      </c>
      <c r="J137" s="32">
        <f>'Rådata-K'!T136</f>
        <v>0.85636856368563685</v>
      </c>
      <c r="K137" s="67">
        <f>'Rådata-K'!L136</f>
        <v>367800</v>
      </c>
      <c r="L137" s="18">
        <f>Tabell2[[#This Row],[NIBR11]]</f>
        <v>11</v>
      </c>
      <c r="M137" s="32">
        <f>IF(Tabell2[[#This Row],[ReisetidOslo]]&lt;=D$427,D$427,IF(Tabell2[[#This Row],[ReisetidOslo]]&gt;=D$428,D$428,Tabell2[[#This Row],[ReisetidOslo]]))</f>
        <v>194.375</v>
      </c>
      <c r="N137" s="32">
        <f>IF(Tabell2[[#This Row],[Beftettotal]]&lt;=E$427,E$427,IF(Tabell2[[#This Row],[Beftettotal]]&gt;=E$428,E$428,Tabell2[[#This Row],[Beftettotal]]))</f>
        <v>1.2454428893921135</v>
      </c>
      <c r="O137" s="32">
        <f>IF(Tabell2[[#This Row],[Befvekst10]]&lt;=F$427,F$427,IF(Tabell2[[#This Row],[Befvekst10]]&gt;=F$428,F$428,Tabell2[[#This Row],[Befvekst10]]))</f>
        <v>-3.2281731474688158E-2</v>
      </c>
      <c r="P137" s="32">
        <f>IF(Tabell2[[#This Row],[Kvinneandel]]&lt;=G$427,G$427,IF(Tabell2[[#This Row],[Kvinneandel]]&gt;=G$428,G$428,Tabell2[[#This Row],[Kvinneandel]]))</f>
        <v>0.10159211523881728</v>
      </c>
      <c r="Q137" s="32">
        <f>IF(Tabell2[[#This Row],[Eldreandel]]&lt;=H$427,H$427,IF(Tabell2[[#This Row],[Eldreandel]]&gt;=H$428,H$428,Tabell2[[#This Row],[Eldreandel]]))</f>
        <v>0.18043972706595907</v>
      </c>
      <c r="R137" s="32">
        <f>IF(Tabell2[[#This Row],[Sysselsettingsvekst10]]&lt;=I$427,I$427,IF(Tabell2[[#This Row],[Sysselsettingsvekst10]]&gt;=I$428,I$428,Tabell2[[#This Row],[Sysselsettingsvekst10]]))</f>
        <v>-0.10679965679965678</v>
      </c>
      <c r="S137" s="32">
        <f>IF(Tabell2[[#This Row],[Yrkesaktivandel]]&lt;=J$427,J$427,IF(Tabell2[[#This Row],[Yrkesaktivandel]]&gt;=J$428,J$428,Tabell2[[#This Row],[Yrkesaktivandel]]))</f>
        <v>0.85636856368563685</v>
      </c>
      <c r="T137" s="67">
        <f>IF(Tabell2[[#This Row],[Inntekt]]&lt;=K$427,K$427,IF(Tabell2[[#This Row],[Inntekt]]&gt;=K$428,K$428,Tabell2[[#This Row],[Inntekt]]))</f>
        <v>367800</v>
      </c>
      <c r="U137" s="10">
        <f>IF(Tabell2[[#This Row],[NIBR11-T]]&lt;=L$430,100,IF(Tabell2[[#This Row],[NIBR11-T]]&gt;=L$429,0,100*(L$429-Tabell2[[#This Row],[NIBR11-T]])/L$432))</f>
        <v>0</v>
      </c>
      <c r="V137" s="10">
        <f>(M$429-Tabell2[[#This Row],[ReisetidOslo-T]])*100/M$432</f>
        <v>39.790103635488514</v>
      </c>
      <c r="W137" s="10">
        <f>100-(N$429-Tabell2[[#This Row],[Beftettotal-T]])*100/N$432</f>
        <v>0</v>
      </c>
      <c r="X137" s="10">
        <f>100-(O$429-Tabell2[[#This Row],[Befvekst10-T]])*100/O$432</f>
        <v>9.5825155614641915</v>
      </c>
      <c r="Y137" s="10">
        <f>100-(P$429-Tabell2[[#This Row],[Kvinneandel-T]])*100/P$432</f>
        <v>30.838281832399659</v>
      </c>
      <c r="Z137" s="10">
        <f>(Q$429-Tabell2[[#This Row],[Eldreandel-T]])*100/Q$432</f>
        <v>45.940485110034203</v>
      </c>
      <c r="AA137" s="10">
        <f>100-(R$429-Tabell2[[#This Row],[Sysselsettingsvekst10-T]])*100/R$432</f>
        <v>0</v>
      </c>
      <c r="AB137" s="10">
        <f>100-(S$429-Tabell2[[#This Row],[Yrkesaktivandel-T]])*100/S$432</f>
        <v>46.013867054105042</v>
      </c>
      <c r="AC137" s="10">
        <f>100-(T$429-Tabell2[[#This Row],[Inntekt-T]])*100/T$432</f>
        <v>9.6301232922359219</v>
      </c>
      <c r="AD13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15.298850857597479</v>
      </c>
    </row>
    <row r="138" spans="1:30" x14ac:dyDescent="0.25">
      <c r="A138" s="2" t="s">
        <v>132</v>
      </c>
      <c r="B138" s="2">
        <v>136</v>
      </c>
      <c r="C138">
        <f>'Rådata-K'!N137</f>
        <v>10</v>
      </c>
      <c r="D138" s="30">
        <f>'Rådata-K'!M137</f>
        <v>175.8125</v>
      </c>
      <c r="E138" s="32">
        <f>'Rådata-K'!O137</f>
        <v>2.2631236795059322</v>
      </c>
      <c r="F138" s="32">
        <f>'Rådata-K'!P137</f>
        <v>-7.7050538525269219E-2</v>
      </c>
      <c r="G138" s="32">
        <f>'Rådata-K'!Q137</f>
        <v>8.9317773788150812E-2</v>
      </c>
      <c r="H138" s="32">
        <f>'Rådata-K'!R137</f>
        <v>0.18761220825852784</v>
      </c>
      <c r="I138" s="32">
        <f>'Rådata-K'!S137</f>
        <v>-0.12767940354147256</v>
      </c>
      <c r="J138" s="32">
        <f>'Rådata-K'!T137</f>
        <v>0.91114701130856224</v>
      </c>
      <c r="K138" s="67">
        <f>'Rådata-K'!L137</f>
        <v>398100</v>
      </c>
      <c r="L138" s="18">
        <f>Tabell2[[#This Row],[NIBR11]]</f>
        <v>10</v>
      </c>
      <c r="M138" s="32">
        <f>IF(Tabell2[[#This Row],[ReisetidOslo]]&lt;=D$427,D$427,IF(Tabell2[[#This Row],[ReisetidOslo]]&gt;=D$428,D$428,Tabell2[[#This Row],[ReisetidOslo]]))</f>
        <v>175.8125</v>
      </c>
      <c r="N138" s="32">
        <f>IF(Tabell2[[#This Row],[Beftettotal]]&lt;=E$427,E$427,IF(Tabell2[[#This Row],[Beftettotal]]&gt;=E$428,E$428,Tabell2[[#This Row],[Beftettotal]]))</f>
        <v>2.2631236795059322</v>
      </c>
      <c r="O138" s="32">
        <f>IF(Tabell2[[#This Row],[Befvekst10]]&lt;=F$427,F$427,IF(Tabell2[[#This Row],[Befvekst10]]&gt;=F$428,F$428,Tabell2[[#This Row],[Befvekst10]]))</f>
        <v>-5.4526569027269343E-2</v>
      </c>
      <c r="P138" s="32">
        <f>IF(Tabell2[[#This Row],[Kvinneandel]]&lt;=G$427,G$427,IF(Tabell2[[#This Row],[Kvinneandel]]&gt;=G$428,G$428,Tabell2[[#This Row],[Kvinneandel]]))</f>
        <v>8.9916711250255951E-2</v>
      </c>
      <c r="Q138" s="32">
        <f>IF(Tabell2[[#This Row],[Eldreandel]]&lt;=H$427,H$427,IF(Tabell2[[#This Row],[Eldreandel]]&gt;=H$428,H$428,Tabell2[[#This Row],[Eldreandel]]))</f>
        <v>0.18761220825852784</v>
      </c>
      <c r="R138" s="32">
        <f>IF(Tabell2[[#This Row],[Sysselsettingsvekst10]]&lt;=I$427,I$427,IF(Tabell2[[#This Row],[Sysselsettingsvekst10]]&gt;=I$428,I$428,Tabell2[[#This Row],[Sysselsettingsvekst10]]))</f>
        <v>-0.10679965679965678</v>
      </c>
      <c r="S138" s="32">
        <f>IF(Tabell2[[#This Row],[Yrkesaktivandel]]&lt;=J$427,J$427,IF(Tabell2[[#This Row],[Yrkesaktivandel]]&gt;=J$428,J$428,Tabell2[[#This Row],[Yrkesaktivandel]]))</f>
        <v>0.91114701130856224</v>
      </c>
      <c r="T138" s="67">
        <f>IF(Tabell2[[#This Row],[Inntekt]]&lt;=K$427,K$427,IF(Tabell2[[#This Row],[Inntekt]]&gt;=K$428,K$428,Tabell2[[#This Row],[Inntekt]]))</f>
        <v>398100</v>
      </c>
      <c r="U138" s="10">
        <f>IF(Tabell2[[#This Row],[NIBR11-T]]&lt;=L$430,100,IF(Tabell2[[#This Row],[NIBR11-T]]&gt;=L$429,0,100*(L$429-Tabell2[[#This Row],[NIBR11-T]])/L$432))</f>
        <v>10</v>
      </c>
      <c r="V138" s="10">
        <f>(M$429-Tabell2[[#This Row],[ReisetidOslo-T]])*100/M$432</f>
        <v>47.787437857414538</v>
      </c>
      <c r="W138" s="10">
        <f>100-(N$429-Tabell2[[#This Row],[Beftettotal-T]])*100/N$432</f>
        <v>0.75848345778975101</v>
      </c>
      <c r="X138" s="10">
        <f>100-(O$429-Tabell2[[#This Row],[Befvekst10-T]])*100/O$432</f>
        <v>0</v>
      </c>
      <c r="Y138" s="10">
        <f>100-(P$429-Tabell2[[#This Row],[Kvinneandel-T]])*100/P$432</f>
        <v>0</v>
      </c>
      <c r="Z138" s="10">
        <f>(Q$429-Tabell2[[#This Row],[Eldreandel-T]])*100/Q$432</f>
        <v>38.204158890761107</v>
      </c>
      <c r="AA138" s="10">
        <f>100-(R$429-Tabell2[[#This Row],[Sysselsettingsvekst10-T]])*100/R$432</f>
        <v>0</v>
      </c>
      <c r="AB138" s="10">
        <f>100-(S$429-Tabell2[[#This Row],[Yrkesaktivandel-T]])*100/S$432</f>
        <v>88.502433603490999</v>
      </c>
      <c r="AC138" s="10">
        <f>100-(T$429-Tabell2[[#This Row],[Inntekt-T]])*100/T$432</f>
        <v>43.28557147617461</v>
      </c>
      <c r="AD13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21.943600584025049</v>
      </c>
    </row>
    <row r="139" spans="1:30" x14ac:dyDescent="0.25">
      <c r="A139" s="2" t="s">
        <v>133</v>
      </c>
      <c r="B139" s="2">
        <v>137</v>
      </c>
      <c r="C139">
        <f>'Rådata-K'!N138</f>
        <v>10</v>
      </c>
      <c r="D139" s="30">
        <f>'Rådata-K'!M138</f>
        <v>168.65625</v>
      </c>
      <c r="E139" s="32">
        <f>'Rådata-K'!O138</f>
        <v>1.1996754501197744</v>
      </c>
      <c r="F139" s="32">
        <f>'Rådata-K'!P138</f>
        <v>1.1400651465798051E-2</v>
      </c>
      <c r="G139" s="32">
        <f>'Rådata-K'!Q138</f>
        <v>0.11164787976382179</v>
      </c>
      <c r="H139" s="32">
        <f>'Rådata-K'!R138</f>
        <v>0.18115942028985507</v>
      </c>
      <c r="I139" s="32">
        <f>'Rådata-K'!S138</f>
        <v>7.0307960488088295E-2</v>
      </c>
      <c r="J139" s="32">
        <f>'Rådata-K'!T138</f>
        <v>0.93888105312646919</v>
      </c>
      <c r="K139" s="67">
        <f>'Rådata-K'!L138</f>
        <v>410900</v>
      </c>
      <c r="L139" s="18">
        <f>Tabell2[[#This Row],[NIBR11]]</f>
        <v>10</v>
      </c>
      <c r="M139" s="32">
        <f>IF(Tabell2[[#This Row],[ReisetidOslo]]&lt;=D$427,D$427,IF(Tabell2[[#This Row],[ReisetidOslo]]&gt;=D$428,D$428,Tabell2[[#This Row],[ReisetidOslo]]))</f>
        <v>168.65625</v>
      </c>
      <c r="N139" s="32">
        <f>IF(Tabell2[[#This Row],[Beftettotal]]&lt;=E$427,E$427,IF(Tabell2[[#This Row],[Beftettotal]]&gt;=E$428,E$428,Tabell2[[#This Row],[Beftettotal]]))</f>
        <v>1.2454428893921135</v>
      </c>
      <c r="O139" s="32">
        <f>IF(Tabell2[[#This Row],[Befvekst10]]&lt;=F$427,F$427,IF(Tabell2[[#This Row],[Befvekst10]]&gt;=F$428,F$428,Tabell2[[#This Row],[Befvekst10]]))</f>
        <v>1.1400651465798051E-2</v>
      </c>
      <c r="P139" s="32">
        <f>IF(Tabell2[[#This Row],[Kvinneandel]]&lt;=G$427,G$427,IF(Tabell2[[#This Row],[Kvinneandel]]&gt;=G$428,G$428,Tabell2[[#This Row],[Kvinneandel]]))</f>
        <v>0.11164787976382179</v>
      </c>
      <c r="Q139" s="32">
        <f>IF(Tabell2[[#This Row],[Eldreandel]]&lt;=H$427,H$427,IF(Tabell2[[#This Row],[Eldreandel]]&gt;=H$428,H$428,Tabell2[[#This Row],[Eldreandel]]))</f>
        <v>0.18115942028985507</v>
      </c>
      <c r="R139" s="32">
        <f>IF(Tabell2[[#This Row],[Sysselsettingsvekst10]]&lt;=I$427,I$427,IF(Tabell2[[#This Row],[Sysselsettingsvekst10]]&gt;=I$428,I$428,Tabell2[[#This Row],[Sysselsettingsvekst10]]))</f>
        <v>7.0307960488088295E-2</v>
      </c>
      <c r="S139" s="32">
        <f>IF(Tabell2[[#This Row],[Yrkesaktivandel]]&lt;=J$427,J$427,IF(Tabell2[[#This Row],[Yrkesaktivandel]]&gt;=J$428,J$428,Tabell2[[#This Row],[Yrkesaktivandel]]))</f>
        <v>0.92597026588718434</v>
      </c>
      <c r="T139" s="67">
        <f>IF(Tabell2[[#This Row],[Inntekt]]&lt;=K$427,K$427,IF(Tabell2[[#This Row],[Inntekt]]&gt;=K$428,K$428,Tabell2[[#This Row],[Inntekt]]))</f>
        <v>410900</v>
      </c>
      <c r="U139" s="10">
        <f>IF(Tabell2[[#This Row],[NIBR11-T]]&lt;=L$430,100,IF(Tabell2[[#This Row],[NIBR11-T]]&gt;=L$429,0,100*(L$429-Tabell2[[#This Row],[NIBR11-T]])/L$432))</f>
        <v>10</v>
      </c>
      <c r="V139" s="10">
        <f>(M$429-Tabell2[[#This Row],[ReisetidOslo-T]])*100/M$432</f>
        <v>50.870585225800163</v>
      </c>
      <c r="W139" s="10">
        <f>100-(N$429-Tabell2[[#This Row],[Beftettotal-T]])*100/N$432</f>
        <v>0</v>
      </c>
      <c r="X139" s="10">
        <f>100-(O$429-Tabell2[[#This Row],[Befvekst10-T]])*100/O$432</f>
        <v>28.39978555948565</v>
      </c>
      <c r="Y139" s="10">
        <f>100-(P$429-Tabell2[[#This Row],[Kvinneandel-T]])*100/P$432</f>
        <v>57.39860477849647</v>
      </c>
      <c r="Z139" s="10">
        <f>(Q$429-Tabell2[[#This Row],[Eldreandel-T]])*100/Q$432</f>
        <v>45.164215168242158</v>
      </c>
      <c r="AA139" s="10">
        <f>100-(R$429-Tabell2[[#This Row],[Sysselsettingsvekst10-T]])*100/R$432</f>
        <v>61.960061347661338</v>
      </c>
      <c r="AB139" s="10">
        <f>100-(S$429-Tabell2[[#This Row],[Yrkesaktivandel-T]])*100/S$432</f>
        <v>100</v>
      </c>
      <c r="AC139" s="10">
        <f>100-(T$429-Tabell2[[#This Row],[Inntekt-T]])*100/T$432</f>
        <v>57.503054537376428</v>
      </c>
      <c r="AD13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39.841468220317857</v>
      </c>
    </row>
    <row r="140" spans="1:30" x14ac:dyDescent="0.25">
      <c r="A140" s="2" t="s">
        <v>134</v>
      </c>
      <c r="B140" s="2">
        <v>138</v>
      </c>
      <c r="C140">
        <f>'Rådata-K'!N139</f>
        <v>5</v>
      </c>
      <c r="D140" s="30">
        <f>'Rådata-K'!M139</f>
        <v>159.59375</v>
      </c>
      <c r="E140" s="32">
        <f>'Rådata-K'!O139</f>
        <v>35.941548346978962</v>
      </c>
      <c r="F140" s="32">
        <f>'Rådata-K'!P139</f>
        <v>9.1663029244870575E-3</v>
      </c>
      <c r="G140" s="32">
        <f>'Rådata-K'!Q139</f>
        <v>9.919261822376009E-2</v>
      </c>
      <c r="H140" s="32">
        <f>'Rådata-K'!R139</f>
        <v>0.19362745098039216</v>
      </c>
      <c r="I140" s="32">
        <f>'Rådata-K'!S139</f>
        <v>-2.1342646488164529E-2</v>
      </c>
      <c r="J140" s="32">
        <f>'Rådata-K'!T139</f>
        <v>0.77327093083723353</v>
      </c>
      <c r="K140" s="67">
        <f>'Rådata-K'!L139</f>
        <v>392300</v>
      </c>
      <c r="L140" s="18">
        <f>Tabell2[[#This Row],[NIBR11]]</f>
        <v>5</v>
      </c>
      <c r="M140" s="32">
        <f>IF(Tabell2[[#This Row],[ReisetidOslo]]&lt;=D$427,D$427,IF(Tabell2[[#This Row],[ReisetidOslo]]&gt;=D$428,D$428,Tabell2[[#This Row],[ReisetidOslo]]))</f>
        <v>159.59375</v>
      </c>
      <c r="N140" s="32">
        <f>IF(Tabell2[[#This Row],[Beftettotal]]&lt;=E$427,E$427,IF(Tabell2[[#This Row],[Beftettotal]]&gt;=E$428,E$428,Tabell2[[#This Row],[Beftettotal]]))</f>
        <v>35.941548346978962</v>
      </c>
      <c r="O140" s="32">
        <f>IF(Tabell2[[#This Row],[Befvekst10]]&lt;=F$427,F$427,IF(Tabell2[[#This Row],[Befvekst10]]&gt;=F$428,F$428,Tabell2[[#This Row],[Befvekst10]]))</f>
        <v>9.1663029244870575E-3</v>
      </c>
      <c r="P140" s="32">
        <f>IF(Tabell2[[#This Row],[Kvinneandel]]&lt;=G$427,G$427,IF(Tabell2[[#This Row],[Kvinneandel]]&gt;=G$428,G$428,Tabell2[[#This Row],[Kvinneandel]]))</f>
        <v>9.919261822376009E-2</v>
      </c>
      <c r="Q140" s="32">
        <f>IF(Tabell2[[#This Row],[Eldreandel]]&lt;=H$427,H$427,IF(Tabell2[[#This Row],[Eldreandel]]&gt;=H$428,H$428,Tabell2[[#This Row],[Eldreandel]]))</f>
        <v>0.19362745098039216</v>
      </c>
      <c r="R140" s="32">
        <f>IF(Tabell2[[#This Row],[Sysselsettingsvekst10]]&lt;=I$427,I$427,IF(Tabell2[[#This Row],[Sysselsettingsvekst10]]&gt;=I$428,I$428,Tabell2[[#This Row],[Sysselsettingsvekst10]]))</f>
        <v>-2.1342646488164529E-2</v>
      </c>
      <c r="S140" s="32">
        <f>IF(Tabell2[[#This Row],[Yrkesaktivandel]]&lt;=J$427,J$427,IF(Tabell2[[#This Row],[Yrkesaktivandel]]&gt;=J$428,J$428,Tabell2[[#This Row],[Yrkesaktivandel]]))</f>
        <v>0.7970451171433347</v>
      </c>
      <c r="T140" s="67">
        <f>IF(Tabell2[[#This Row],[Inntekt]]&lt;=K$427,K$427,IF(Tabell2[[#This Row],[Inntekt]]&gt;=K$428,K$428,Tabell2[[#This Row],[Inntekt]]))</f>
        <v>392300</v>
      </c>
      <c r="U140" s="10">
        <f>IF(Tabell2[[#This Row],[NIBR11-T]]&lt;=L$430,100,IF(Tabell2[[#This Row],[NIBR11-T]]&gt;=L$429,0,100*(L$429-Tabell2[[#This Row],[NIBR11-T]])/L$432))</f>
        <v>60</v>
      </c>
      <c r="V140" s="10">
        <f>(M$429-Tabell2[[#This Row],[ReisetidOslo-T]])*100/M$432</f>
        <v>54.775007657380208</v>
      </c>
      <c r="W140" s="10">
        <f>100-(N$429-Tabell2[[#This Row],[Beftettotal-T]])*100/N$432</f>
        <v>25.859210761328725</v>
      </c>
      <c r="X140" s="10">
        <f>100-(O$429-Tabell2[[#This Row],[Befvekst10-T]])*100/O$432</f>
        <v>27.437284502049835</v>
      </c>
      <c r="Y140" s="10">
        <f>100-(P$429-Tabell2[[#This Row],[Kvinneandel-T]])*100/P$432</f>
        <v>24.500482705377479</v>
      </c>
      <c r="Z140" s="10">
        <f>(Q$429-Tabell2[[#This Row],[Eldreandel-T]])*100/Q$432</f>
        <v>31.716044285083886</v>
      </c>
      <c r="AA140" s="10">
        <f>100-(R$429-Tabell2[[#This Row],[Sysselsettingsvekst10-T]])*100/R$432</f>
        <v>29.896633936897132</v>
      </c>
      <c r="AB140" s="10">
        <f>100-(S$429-Tabell2[[#This Row],[Yrkesaktivandel-T]])*100/S$432</f>
        <v>0</v>
      </c>
      <c r="AC140" s="10">
        <f>100-(T$429-Tabell2[[#This Row],[Inntekt-T]])*100/T$432</f>
        <v>36.843274464067534</v>
      </c>
      <c r="AD14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35.035695931900399</v>
      </c>
    </row>
    <row r="141" spans="1:30" x14ac:dyDescent="0.25">
      <c r="A141" s="2" t="s">
        <v>135</v>
      </c>
      <c r="B141" s="2">
        <v>139</v>
      </c>
      <c r="C141">
        <f>'Rådata-K'!N140</f>
        <v>4</v>
      </c>
      <c r="D141" s="30">
        <f>'Rådata-K'!M140</f>
        <v>176.40625</v>
      </c>
      <c r="E141" s="32">
        <f>'Rådata-K'!O140</f>
        <v>74.748007115093216</v>
      </c>
      <c r="F141" s="32">
        <f>'Rådata-K'!P140</f>
        <v>0.16154791154791148</v>
      </c>
      <c r="G141" s="32">
        <f>'Rådata-K'!Q140</f>
        <v>0.12801868499911864</v>
      </c>
      <c r="H141" s="32">
        <f>'Rådata-K'!R140</f>
        <v>0.13885950995945709</v>
      </c>
      <c r="I141" s="32">
        <f>'Rådata-K'!S140</f>
        <v>5.7762612722398243E-2</v>
      </c>
      <c r="J141" s="32">
        <f>'Rådata-K'!T140</f>
        <v>0.7855951478392722</v>
      </c>
      <c r="K141" s="67">
        <f>'Rådata-K'!L140</f>
        <v>423400</v>
      </c>
      <c r="L141" s="18">
        <f>Tabell2[[#This Row],[NIBR11]]</f>
        <v>4</v>
      </c>
      <c r="M141" s="32">
        <f>IF(Tabell2[[#This Row],[ReisetidOslo]]&lt;=D$427,D$427,IF(Tabell2[[#This Row],[ReisetidOslo]]&gt;=D$428,D$428,Tabell2[[#This Row],[ReisetidOslo]]))</f>
        <v>176.40625</v>
      </c>
      <c r="N141" s="32">
        <f>IF(Tabell2[[#This Row],[Beftettotal]]&lt;=E$427,E$427,IF(Tabell2[[#This Row],[Beftettotal]]&gt;=E$428,E$428,Tabell2[[#This Row],[Beftettotal]]))</f>
        <v>74.748007115093216</v>
      </c>
      <c r="O141" s="32">
        <f>IF(Tabell2[[#This Row],[Befvekst10]]&lt;=F$427,F$427,IF(Tabell2[[#This Row],[Befvekst10]]&gt;=F$428,F$428,Tabell2[[#This Row],[Befvekst10]]))</f>
        <v>0.16154791154791148</v>
      </c>
      <c r="P141" s="32">
        <f>IF(Tabell2[[#This Row],[Kvinneandel]]&lt;=G$427,G$427,IF(Tabell2[[#This Row],[Kvinneandel]]&gt;=G$428,G$428,Tabell2[[#This Row],[Kvinneandel]]))</f>
        <v>0.12777681011054584</v>
      </c>
      <c r="Q141" s="32">
        <f>IF(Tabell2[[#This Row],[Eldreandel]]&lt;=H$427,H$427,IF(Tabell2[[#This Row],[Eldreandel]]&gt;=H$428,H$428,Tabell2[[#This Row],[Eldreandel]]))</f>
        <v>0.13885950995945709</v>
      </c>
      <c r="R141" s="32">
        <f>IF(Tabell2[[#This Row],[Sysselsettingsvekst10]]&lt;=I$427,I$427,IF(Tabell2[[#This Row],[Sysselsettingsvekst10]]&gt;=I$428,I$428,Tabell2[[#This Row],[Sysselsettingsvekst10]]))</f>
        <v>5.7762612722398243E-2</v>
      </c>
      <c r="S141" s="32">
        <f>IF(Tabell2[[#This Row],[Yrkesaktivandel]]&lt;=J$427,J$427,IF(Tabell2[[#This Row],[Yrkesaktivandel]]&gt;=J$428,J$428,Tabell2[[#This Row],[Yrkesaktivandel]]))</f>
        <v>0.7970451171433347</v>
      </c>
      <c r="T141" s="67">
        <f>IF(Tabell2[[#This Row],[Inntekt]]&lt;=K$427,K$427,IF(Tabell2[[#This Row],[Inntekt]]&gt;=K$428,K$428,Tabell2[[#This Row],[Inntekt]]))</f>
        <v>423400</v>
      </c>
      <c r="U141" s="10">
        <f>IF(Tabell2[[#This Row],[NIBR11-T]]&lt;=L$430,100,IF(Tabell2[[#This Row],[NIBR11-T]]&gt;=L$429,0,100*(L$429-Tabell2[[#This Row],[NIBR11-T]])/L$432))</f>
        <v>70</v>
      </c>
      <c r="V141" s="10">
        <f>(M$429-Tabell2[[#This Row],[ReisetidOslo-T]])*100/M$432</f>
        <v>47.531630870517915</v>
      </c>
      <c r="W141" s="10">
        <f>100-(N$429-Tabell2[[#This Row],[Beftettotal-T]])*100/N$432</f>
        <v>54.781891936948902</v>
      </c>
      <c r="X141" s="10">
        <f>100-(O$429-Tabell2[[#This Row],[Befvekst10-T]])*100/O$432</f>
        <v>93.079442259478654</v>
      </c>
      <c r="Y141" s="10">
        <f>100-(P$429-Tabell2[[#This Row],[Kvinneandel-T]])*100/P$432</f>
        <v>100</v>
      </c>
      <c r="Z141" s="10">
        <f>(Q$429-Tabell2[[#This Row],[Eldreandel-T]])*100/Q$432</f>
        <v>90.789417462395264</v>
      </c>
      <c r="AA141" s="10">
        <f>100-(R$429-Tabell2[[#This Row],[Sysselsettingsvekst10-T]])*100/R$432</f>
        <v>57.571144997852322</v>
      </c>
      <c r="AB141" s="10">
        <f>100-(S$429-Tabell2[[#This Row],[Yrkesaktivandel-T]])*100/S$432</f>
        <v>0</v>
      </c>
      <c r="AC141" s="10">
        <f>100-(T$429-Tabell2[[#This Row],[Inntekt-T]])*100/T$432</f>
        <v>71.387315339331337</v>
      </c>
      <c r="AD14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65.282557639480544</v>
      </c>
    </row>
    <row r="142" spans="1:30" x14ac:dyDescent="0.25">
      <c r="A142" s="2" t="s">
        <v>136</v>
      </c>
      <c r="B142" s="2">
        <v>140</v>
      </c>
      <c r="C142">
        <f>'Rådata-K'!N141</f>
        <v>4</v>
      </c>
      <c r="D142" s="30">
        <f>'Rådata-K'!M141</f>
        <v>179.3125</v>
      </c>
      <c r="E142" s="32">
        <f>'Rådata-K'!O141</f>
        <v>164.96798786129307</v>
      </c>
      <c r="F142" s="32">
        <f>'Rådata-K'!P141</f>
        <v>0.11281423970841553</v>
      </c>
      <c r="G142" s="32">
        <f>'Rådata-K'!Q141</f>
        <v>0.11672200287150036</v>
      </c>
      <c r="H142" s="32">
        <f>'Rådata-K'!R141</f>
        <v>0.15375987078248385</v>
      </c>
      <c r="I142" s="32">
        <f>'Rådata-K'!S141</f>
        <v>3.9195878371552695E-2</v>
      </c>
      <c r="J142" s="32">
        <f>'Rådata-K'!T141</f>
        <v>0.76412075413501945</v>
      </c>
      <c r="K142" s="67">
        <f>'Rådata-K'!L141</f>
        <v>411300</v>
      </c>
      <c r="L142" s="18">
        <f>Tabell2[[#This Row],[NIBR11]]</f>
        <v>4</v>
      </c>
      <c r="M142" s="32">
        <f>IF(Tabell2[[#This Row],[ReisetidOslo]]&lt;=D$427,D$427,IF(Tabell2[[#This Row],[ReisetidOslo]]&gt;=D$428,D$428,Tabell2[[#This Row],[ReisetidOslo]]))</f>
        <v>179.3125</v>
      </c>
      <c r="N142" s="32">
        <f>IF(Tabell2[[#This Row],[Beftettotal]]&lt;=E$427,E$427,IF(Tabell2[[#This Row],[Beftettotal]]&gt;=E$428,E$428,Tabell2[[#This Row],[Beftettotal]]))</f>
        <v>135.41854576488009</v>
      </c>
      <c r="O142" s="32">
        <f>IF(Tabell2[[#This Row],[Befvekst10]]&lt;=F$427,F$427,IF(Tabell2[[#This Row],[Befvekst10]]&gt;=F$428,F$428,Tabell2[[#This Row],[Befvekst10]]))</f>
        <v>0.11281423970841553</v>
      </c>
      <c r="P142" s="32">
        <f>IF(Tabell2[[#This Row],[Kvinneandel]]&lt;=G$427,G$427,IF(Tabell2[[#This Row],[Kvinneandel]]&gt;=G$428,G$428,Tabell2[[#This Row],[Kvinneandel]]))</f>
        <v>0.11672200287150036</v>
      </c>
      <c r="Q142" s="32">
        <f>IF(Tabell2[[#This Row],[Eldreandel]]&lt;=H$427,H$427,IF(Tabell2[[#This Row],[Eldreandel]]&gt;=H$428,H$428,Tabell2[[#This Row],[Eldreandel]]))</f>
        <v>0.15375987078248385</v>
      </c>
      <c r="R142" s="32">
        <f>IF(Tabell2[[#This Row],[Sysselsettingsvekst10]]&lt;=I$427,I$427,IF(Tabell2[[#This Row],[Sysselsettingsvekst10]]&gt;=I$428,I$428,Tabell2[[#This Row],[Sysselsettingsvekst10]]))</f>
        <v>3.9195878371552695E-2</v>
      </c>
      <c r="S142" s="32">
        <f>IF(Tabell2[[#This Row],[Yrkesaktivandel]]&lt;=J$427,J$427,IF(Tabell2[[#This Row],[Yrkesaktivandel]]&gt;=J$428,J$428,Tabell2[[#This Row],[Yrkesaktivandel]]))</f>
        <v>0.7970451171433347</v>
      </c>
      <c r="T142" s="67">
        <f>IF(Tabell2[[#This Row],[Inntekt]]&lt;=K$427,K$427,IF(Tabell2[[#This Row],[Inntekt]]&gt;=K$428,K$428,Tabell2[[#This Row],[Inntekt]]))</f>
        <v>411300</v>
      </c>
      <c r="U142" s="10">
        <f>IF(Tabell2[[#This Row],[NIBR11-T]]&lt;=L$430,100,IF(Tabell2[[#This Row],[NIBR11-T]]&gt;=L$429,0,100*(L$429-Tabell2[[#This Row],[NIBR11-T]])/L$432))</f>
        <v>70</v>
      </c>
      <c r="V142" s="10">
        <f>(M$429-Tabell2[[#This Row],[ReisetidOslo-T]])*100/M$432</f>
        <v>46.279522987287073</v>
      </c>
      <c r="W142" s="10">
        <f>100-(N$429-Tabell2[[#This Row],[Beftettotal-T]])*100/N$432</f>
        <v>100</v>
      </c>
      <c r="X142" s="10">
        <f>100-(O$429-Tabell2[[#This Row],[Befvekst10-T]])*100/O$432</f>
        <v>72.086204270421192</v>
      </c>
      <c r="Y142" s="10">
        <f>100-(P$429-Tabell2[[#This Row],[Kvinneandel-T]])*100/P$432</f>
        <v>70.800902343547563</v>
      </c>
      <c r="Z142" s="10">
        <f>(Q$429-Tabell2[[#This Row],[Eldreandel-T]])*100/Q$432</f>
        <v>74.717705454109463</v>
      </c>
      <c r="AA142" s="10">
        <f>100-(R$429-Tabell2[[#This Row],[Sysselsettingsvekst10-T]])*100/R$432</f>
        <v>51.075681860684803</v>
      </c>
      <c r="AB142" s="10">
        <f>100-(S$429-Tabell2[[#This Row],[Yrkesaktivandel-T]])*100/S$432</f>
        <v>0</v>
      </c>
      <c r="AC142" s="10">
        <f>100-(T$429-Tabell2[[#This Row],[Inntekt-T]])*100/T$432</f>
        <v>57.947350883038986</v>
      </c>
      <c r="AD14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61.223426817068173</v>
      </c>
    </row>
    <row r="143" spans="1:30" x14ac:dyDescent="0.25">
      <c r="A143" s="2" t="s">
        <v>137</v>
      </c>
      <c r="B143" s="2">
        <v>141</v>
      </c>
      <c r="C143">
        <f>'Rådata-K'!N142</f>
        <v>5</v>
      </c>
      <c r="D143" s="30">
        <f>'Rådata-K'!M142</f>
        <v>146.59375</v>
      </c>
      <c r="E143" s="32">
        <f>'Rådata-K'!O142</f>
        <v>7.7947476252561003</v>
      </c>
      <c r="F143" s="32">
        <f>'Rådata-K'!P142</f>
        <v>-7.9586152009547551E-4</v>
      </c>
      <c r="G143" s="32">
        <f>'Rådata-K'!Q142</f>
        <v>0.10553564317005178</v>
      </c>
      <c r="H143" s="32">
        <f>'Rådata-K'!R142</f>
        <v>0.18160095579450419</v>
      </c>
      <c r="I143" s="32">
        <f>'Rådata-K'!S142</f>
        <v>-9.1563786008230452E-2</v>
      </c>
      <c r="J143" s="32">
        <f>'Rådata-K'!T142</f>
        <v>0.77489481065918653</v>
      </c>
      <c r="K143" s="67">
        <f>'Rådata-K'!L142</f>
        <v>362500</v>
      </c>
      <c r="L143" s="18">
        <f>Tabell2[[#This Row],[NIBR11]]</f>
        <v>5</v>
      </c>
      <c r="M143" s="32">
        <f>IF(Tabell2[[#This Row],[ReisetidOslo]]&lt;=D$427,D$427,IF(Tabell2[[#This Row],[ReisetidOslo]]&gt;=D$428,D$428,Tabell2[[#This Row],[ReisetidOslo]]))</f>
        <v>146.59375</v>
      </c>
      <c r="N143" s="32">
        <f>IF(Tabell2[[#This Row],[Beftettotal]]&lt;=E$427,E$427,IF(Tabell2[[#This Row],[Beftettotal]]&gt;=E$428,E$428,Tabell2[[#This Row],[Beftettotal]]))</f>
        <v>7.7947476252561003</v>
      </c>
      <c r="O143" s="32">
        <f>IF(Tabell2[[#This Row],[Befvekst10]]&lt;=F$427,F$427,IF(Tabell2[[#This Row],[Befvekst10]]&gt;=F$428,F$428,Tabell2[[#This Row],[Befvekst10]]))</f>
        <v>-7.9586152009547551E-4</v>
      </c>
      <c r="P143" s="32">
        <f>IF(Tabell2[[#This Row],[Kvinneandel]]&lt;=G$427,G$427,IF(Tabell2[[#This Row],[Kvinneandel]]&gt;=G$428,G$428,Tabell2[[#This Row],[Kvinneandel]]))</f>
        <v>0.10553564317005178</v>
      </c>
      <c r="Q143" s="32">
        <f>IF(Tabell2[[#This Row],[Eldreandel]]&lt;=H$427,H$427,IF(Tabell2[[#This Row],[Eldreandel]]&gt;=H$428,H$428,Tabell2[[#This Row],[Eldreandel]]))</f>
        <v>0.18160095579450419</v>
      </c>
      <c r="R143" s="32">
        <f>IF(Tabell2[[#This Row],[Sysselsettingsvekst10]]&lt;=I$427,I$427,IF(Tabell2[[#This Row],[Sysselsettingsvekst10]]&gt;=I$428,I$428,Tabell2[[#This Row],[Sysselsettingsvekst10]]))</f>
        <v>-9.1563786008230452E-2</v>
      </c>
      <c r="S143" s="32">
        <f>IF(Tabell2[[#This Row],[Yrkesaktivandel]]&lt;=J$427,J$427,IF(Tabell2[[#This Row],[Yrkesaktivandel]]&gt;=J$428,J$428,Tabell2[[#This Row],[Yrkesaktivandel]]))</f>
        <v>0.7970451171433347</v>
      </c>
      <c r="T143" s="67">
        <f>IF(Tabell2[[#This Row],[Inntekt]]&lt;=K$427,K$427,IF(Tabell2[[#This Row],[Inntekt]]&gt;=K$428,K$428,Tabell2[[#This Row],[Inntekt]]))</f>
        <v>362500</v>
      </c>
      <c r="U143" s="10">
        <f>IF(Tabell2[[#This Row],[NIBR11-T]]&lt;=L$430,100,IF(Tabell2[[#This Row],[NIBR11-T]]&gt;=L$429,0,100*(L$429-Tabell2[[#This Row],[NIBR11-T]])/L$432))</f>
        <v>60</v>
      </c>
      <c r="V143" s="10">
        <f>(M$429-Tabell2[[#This Row],[ReisetidOslo-T]])*100/M$432</f>
        <v>60.375834317853652</v>
      </c>
      <c r="W143" s="10">
        <f>100-(N$429-Tabell2[[#This Row],[Beftettotal-T]])*100/N$432</f>
        <v>4.8812352069860907</v>
      </c>
      <c r="X143" s="10">
        <f>100-(O$429-Tabell2[[#This Row],[Befvekst10-T]])*100/O$432</f>
        <v>23.145835054939781</v>
      </c>
      <c r="Y143" s="10">
        <f>100-(P$429-Tabell2[[#This Row],[Kvinneandel-T]])*100/P$432</f>
        <v>41.25433474812705</v>
      </c>
      <c r="Z143" s="10">
        <f>(Q$429-Tabell2[[#This Row],[Eldreandel-T]])*100/Q$432</f>
        <v>44.687969555371673</v>
      </c>
      <c r="AA143" s="10">
        <f>100-(R$429-Tabell2[[#This Row],[Sysselsettingsvekst10-T]])*100/R$432</f>
        <v>5.330180053114745</v>
      </c>
      <c r="AB143" s="10">
        <f>100-(S$429-Tabell2[[#This Row],[Yrkesaktivandel-T]])*100/S$432</f>
        <v>0</v>
      </c>
      <c r="AC143" s="10">
        <f>100-(T$429-Tabell2[[#This Row],[Inntekt-T]])*100/T$432</f>
        <v>3.7431967122070375</v>
      </c>
      <c r="AD14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28.359326855179042</v>
      </c>
    </row>
    <row r="144" spans="1:30" x14ac:dyDescent="0.25">
      <c r="A144" s="2" t="s">
        <v>138</v>
      </c>
      <c r="B144" s="2">
        <v>142</v>
      </c>
      <c r="C144">
        <f>'Rådata-K'!N143</f>
        <v>4</v>
      </c>
      <c r="D144" s="30">
        <f>'Rådata-K'!M143</f>
        <v>154.5625</v>
      </c>
      <c r="E144" s="32">
        <f>'Rådata-K'!O143</f>
        <v>5.9159285814705473</v>
      </c>
      <c r="F144" s="32">
        <f>'Rådata-K'!P143</f>
        <v>0.12875536480686689</v>
      </c>
      <c r="G144" s="32">
        <f>'Rådata-K'!Q143</f>
        <v>0.11169201520912547</v>
      </c>
      <c r="H144" s="32">
        <f>'Rådata-K'!R143</f>
        <v>0.15399239543726237</v>
      </c>
      <c r="I144" s="32">
        <f>'Rådata-K'!S143</f>
        <v>-7.8904991948470227E-2</v>
      </c>
      <c r="J144" s="32">
        <f>'Rådata-K'!T143</f>
        <v>0.7897822445561139</v>
      </c>
      <c r="K144" s="67">
        <f>'Rådata-K'!L143</f>
        <v>362500</v>
      </c>
      <c r="L144" s="18">
        <f>Tabell2[[#This Row],[NIBR11]]</f>
        <v>4</v>
      </c>
      <c r="M144" s="32">
        <f>IF(Tabell2[[#This Row],[ReisetidOslo]]&lt;=D$427,D$427,IF(Tabell2[[#This Row],[ReisetidOslo]]&gt;=D$428,D$428,Tabell2[[#This Row],[ReisetidOslo]]))</f>
        <v>154.5625</v>
      </c>
      <c r="N144" s="32">
        <f>IF(Tabell2[[#This Row],[Beftettotal]]&lt;=E$427,E$427,IF(Tabell2[[#This Row],[Beftettotal]]&gt;=E$428,E$428,Tabell2[[#This Row],[Beftettotal]]))</f>
        <v>5.9159285814705473</v>
      </c>
      <c r="O144" s="32">
        <f>IF(Tabell2[[#This Row],[Befvekst10]]&lt;=F$427,F$427,IF(Tabell2[[#This Row],[Befvekst10]]&gt;=F$428,F$428,Tabell2[[#This Row],[Befvekst10]]))</f>
        <v>0.12875536480686689</v>
      </c>
      <c r="P144" s="32">
        <f>IF(Tabell2[[#This Row],[Kvinneandel]]&lt;=G$427,G$427,IF(Tabell2[[#This Row],[Kvinneandel]]&gt;=G$428,G$428,Tabell2[[#This Row],[Kvinneandel]]))</f>
        <v>0.11169201520912547</v>
      </c>
      <c r="Q144" s="32">
        <f>IF(Tabell2[[#This Row],[Eldreandel]]&lt;=H$427,H$427,IF(Tabell2[[#This Row],[Eldreandel]]&gt;=H$428,H$428,Tabell2[[#This Row],[Eldreandel]]))</f>
        <v>0.15399239543726237</v>
      </c>
      <c r="R144" s="32">
        <f>IF(Tabell2[[#This Row],[Sysselsettingsvekst10]]&lt;=I$427,I$427,IF(Tabell2[[#This Row],[Sysselsettingsvekst10]]&gt;=I$428,I$428,Tabell2[[#This Row],[Sysselsettingsvekst10]]))</f>
        <v>-7.8904991948470227E-2</v>
      </c>
      <c r="S144" s="32">
        <f>IF(Tabell2[[#This Row],[Yrkesaktivandel]]&lt;=J$427,J$427,IF(Tabell2[[#This Row],[Yrkesaktivandel]]&gt;=J$428,J$428,Tabell2[[#This Row],[Yrkesaktivandel]]))</f>
        <v>0.7970451171433347</v>
      </c>
      <c r="T144" s="67">
        <f>IF(Tabell2[[#This Row],[Inntekt]]&lt;=K$427,K$427,IF(Tabell2[[#This Row],[Inntekt]]&gt;=K$428,K$428,Tabell2[[#This Row],[Inntekt]]))</f>
        <v>362500</v>
      </c>
      <c r="U144" s="10">
        <f>IF(Tabell2[[#This Row],[NIBR11-T]]&lt;=L$430,100,IF(Tabell2[[#This Row],[NIBR11-T]]&gt;=L$429,0,100*(L$429-Tabell2[[#This Row],[NIBR11-T]])/L$432))</f>
        <v>70</v>
      </c>
      <c r="V144" s="10">
        <f>(M$429-Tabell2[[#This Row],[ReisetidOslo-T]])*100/M$432</f>
        <v>56.942635283188437</v>
      </c>
      <c r="W144" s="10">
        <f>100-(N$429-Tabell2[[#This Row],[Beftettotal-T]])*100/N$432</f>
        <v>3.4809403613573977</v>
      </c>
      <c r="X144" s="10">
        <f>100-(O$429-Tabell2[[#This Row],[Befvekst10-T]])*100/O$432</f>
        <v>78.953239327974686</v>
      </c>
      <c r="Y144" s="10">
        <f>100-(P$429-Tabell2[[#This Row],[Kvinneandel-T]])*100/P$432</f>
        <v>57.515179871093423</v>
      </c>
      <c r="Z144" s="10">
        <f>(Q$429-Tabell2[[#This Row],[Eldreandel-T]])*100/Q$432</f>
        <v>74.466901508432443</v>
      </c>
      <c r="AA144" s="10">
        <f>100-(R$429-Tabell2[[#This Row],[Sysselsettingsvekst10-T]])*100/R$432</f>
        <v>9.7587849236542468</v>
      </c>
      <c r="AB144" s="10">
        <f>100-(S$429-Tabell2[[#This Row],[Yrkesaktivandel-T]])*100/S$432</f>
        <v>0</v>
      </c>
      <c r="AC144" s="10">
        <f>100-(T$429-Tabell2[[#This Row],[Inntekt-T]])*100/T$432</f>
        <v>3.7431967122070375</v>
      </c>
      <c r="AD14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43.782307662611942</v>
      </c>
    </row>
    <row r="145" spans="1:30" x14ac:dyDescent="0.25">
      <c r="A145" s="2" t="s">
        <v>139</v>
      </c>
      <c r="B145" s="2">
        <v>143</v>
      </c>
      <c r="C145">
        <f>'Rådata-K'!N144</f>
        <v>4</v>
      </c>
      <c r="D145" s="30">
        <f>'Rådata-K'!M144</f>
        <v>161.15625</v>
      </c>
      <c r="E145" s="32">
        <f>'Rådata-K'!O144</f>
        <v>28.137642408742153</v>
      </c>
      <c r="F145" s="32">
        <f>'Rådata-K'!P144</f>
        <v>3.9333562349707973E-2</v>
      </c>
      <c r="G145" s="32">
        <f>'Rådata-K'!Q144</f>
        <v>0.1102297140968435</v>
      </c>
      <c r="H145" s="32">
        <f>'Rådata-K'!R144</f>
        <v>0.18112708643199471</v>
      </c>
      <c r="I145" s="32">
        <f>'Rådata-K'!S144</f>
        <v>-4.995766299745974E-2</v>
      </c>
      <c r="J145" s="32">
        <f>'Rådata-K'!T144</f>
        <v>0.7508782201405152</v>
      </c>
      <c r="K145" s="67">
        <f>'Rådata-K'!L144</f>
        <v>391200</v>
      </c>
      <c r="L145" s="18">
        <f>Tabell2[[#This Row],[NIBR11]]</f>
        <v>4</v>
      </c>
      <c r="M145" s="32">
        <f>IF(Tabell2[[#This Row],[ReisetidOslo]]&lt;=D$427,D$427,IF(Tabell2[[#This Row],[ReisetidOslo]]&gt;=D$428,D$428,Tabell2[[#This Row],[ReisetidOslo]]))</f>
        <v>161.15625</v>
      </c>
      <c r="N145" s="32">
        <f>IF(Tabell2[[#This Row],[Beftettotal]]&lt;=E$427,E$427,IF(Tabell2[[#This Row],[Beftettotal]]&gt;=E$428,E$428,Tabell2[[#This Row],[Beftettotal]]))</f>
        <v>28.137642408742153</v>
      </c>
      <c r="O145" s="32">
        <f>IF(Tabell2[[#This Row],[Befvekst10]]&lt;=F$427,F$427,IF(Tabell2[[#This Row],[Befvekst10]]&gt;=F$428,F$428,Tabell2[[#This Row],[Befvekst10]]))</f>
        <v>3.9333562349707973E-2</v>
      </c>
      <c r="P145" s="32">
        <f>IF(Tabell2[[#This Row],[Kvinneandel]]&lt;=G$427,G$427,IF(Tabell2[[#This Row],[Kvinneandel]]&gt;=G$428,G$428,Tabell2[[#This Row],[Kvinneandel]]))</f>
        <v>0.1102297140968435</v>
      </c>
      <c r="Q145" s="32">
        <f>IF(Tabell2[[#This Row],[Eldreandel]]&lt;=H$427,H$427,IF(Tabell2[[#This Row],[Eldreandel]]&gt;=H$428,H$428,Tabell2[[#This Row],[Eldreandel]]))</f>
        <v>0.18112708643199471</v>
      </c>
      <c r="R145" s="32">
        <f>IF(Tabell2[[#This Row],[Sysselsettingsvekst10]]&lt;=I$427,I$427,IF(Tabell2[[#This Row],[Sysselsettingsvekst10]]&gt;=I$428,I$428,Tabell2[[#This Row],[Sysselsettingsvekst10]]))</f>
        <v>-4.995766299745974E-2</v>
      </c>
      <c r="S145" s="32">
        <f>IF(Tabell2[[#This Row],[Yrkesaktivandel]]&lt;=J$427,J$427,IF(Tabell2[[#This Row],[Yrkesaktivandel]]&gt;=J$428,J$428,Tabell2[[#This Row],[Yrkesaktivandel]]))</f>
        <v>0.7970451171433347</v>
      </c>
      <c r="T145" s="67">
        <f>IF(Tabell2[[#This Row],[Inntekt]]&lt;=K$427,K$427,IF(Tabell2[[#This Row],[Inntekt]]&gt;=K$428,K$428,Tabell2[[#This Row],[Inntekt]]))</f>
        <v>391200</v>
      </c>
      <c r="U145" s="10">
        <f>IF(Tabell2[[#This Row],[NIBR11-T]]&lt;=L$430,100,IF(Tabell2[[#This Row],[NIBR11-T]]&gt;=L$429,0,100*(L$429-Tabell2[[#This Row],[NIBR11-T]])/L$432))</f>
        <v>70</v>
      </c>
      <c r="V145" s="10">
        <f>(M$429-Tabell2[[#This Row],[ReisetidOslo-T]])*100/M$432</f>
        <v>54.101831376073299</v>
      </c>
      <c r="W145" s="10">
        <f>100-(N$429-Tabell2[[#This Row],[Beftettotal-T]])*100/N$432</f>
        <v>20.042913924638</v>
      </c>
      <c r="X145" s="10">
        <f>100-(O$429-Tabell2[[#This Row],[Befvekst10-T]])*100/O$432</f>
        <v>40.4325798017165</v>
      </c>
      <c r="Y145" s="10">
        <f>100-(P$429-Tabell2[[#This Row],[Kvinneandel-T]])*100/P$432</f>
        <v>53.652799274365158</v>
      </c>
      <c r="Z145" s="10">
        <f>(Q$429-Tabell2[[#This Row],[Eldreandel-T]])*100/Q$432</f>
        <v>45.199090864060587</v>
      </c>
      <c r="AA145" s="10">
        <f>100-(R$429-Tabell2[[#This Row],[Sysselsettingsvekst10-T]])*100/R$432</f>
        <v>19.885838209801349</v>
      </c>
      <c r="AB145" s="10">
        <f>100-(S$429-Tabell2[[#This Row],[Yrkesaktivandel-T]])*100/S$432</f>
        <v>0</v>
      </c>
      <c r="AC145" s="10">
        <f>100-(T$429-Tabell2[[#This Row],[Inntekt-T]])*100/T$432</f>
        <v>35.621459513495495</v>
      </c>
      <c r="AD14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39.994314769665401</v>
      </c>
    </row>
    <row r="146" spans="1:30" x14ac:dyDescent="0.25">
      <c r="A146" s="2" t="s">
        <v>140</v>
      </c>
      <c r="B146" s="2">
        <v>144</v>
      </c>
      <c r="C146">
        <f>'Rådata-K'!N145</f>
        <v>4</v>
      </c>
      <c r="D146" s="30">
        <f>'Rådata-K'!M145</f>
        <v>181.9375</v>
      </c>
      <c r="E146" s="32">
        <f>'Rådata-K'!O145</f>
        <v>8.8636857293573712</v>
      </c>
      <c r="F146" s="32">
        <f>'Rådata-K'!P145</f>
        <v>0.20046228199201521</v>
      </c>
      <c r="G146" s="32">
        <f>'Rådata-K'!Q145</f>
        <v>0.12865394713810607</v>
      </c>
      <c r="H146" s="32">
        <f>'Rådata-K'!R145</f>
        <v>0.12497812007701734</v>
      </c>
      <c r="I146" s="32">
        <f>'Rådata-K'!S145</f>
        <v>9.5199349064279959E-2</v>
      </c>
      <c r="J146" s="32">
        <f>'Rådata-K'!T145</f>
        <v>0.7935985641639246</v>
      </c>
      <c r="K146" s="67">
        <f>'Rådata-K'!L145</f>
        <v>387700</v>
      </c>
      <c r="L146" s="18">
        <f>Tabell2[[#This Row],[NIBR11]]</f>
        <v>4</v>
      </c>
      <c r="M146" s="32">
        <f>IF(Tabell2[[#This Row],[ReisetidOslo]]&lt;=D$427,D$427,IF(Tabell2[[#This Row],[ReisetidOslo]]&gt;=D$428,D$428,Tabell2[[#This Row],[ReisetidOslo]]))</f>
        <v>181.9375</v>
      </c>
      <c r="N146" s="32">
        <f>IF(Tabell2[[#This Row],[Beftettotal]]&lt;=E$427,E$427,IF(Tabell2[[#This Row],[Beftettotal]]&gt;=E$428,E$428,Tabell2[[#This Row],[Beftettotal]]))</f>
        <v>8.8636857293573712</v>
      </c>
      <c r="O146" s="32">
        <f>IF(Tabell2[[#This Row],[Befvekst10]]&lt;=F$427,F$427,IF(Tabell2[[#This Row],[Befvekst10]]&gt;=F$428,F$428,Tabell2[[#This Row],[Befvekst10]]))</f>
        <v>0.17761328412400704</v>
      </c>
      <c r="P146" s="32">
        <f>IF(Tabell2[[#This Row],[Kvinneandel]]&lt;=G$427,G$427,IF(Tabell2[[#This Row],[Kvinneandel]]&gt;=G$428,G$428,Tabell2[[#This Row],[Kvinneandel]]))</f>
        <v>0.12777681011054584</v>
      </c>
      <c r="Q146" s="32">
        <f>IF(Tabell2[[#This Row],[Eldreandel]]&lt;=H$427,H$427,IF(Tabell2[[#This Row],[Eldreandel]]&gt;=H$428,H$428,Tabell2[[#This Row],[Eldreandel]]))</f>
        <v>0.13032022035982854</v>
      </c>
      <c r="R146" s="32">
        <f>IF(Tabell2[[#This Row],[Sysselsettingsvekst10]]&lt;=I$427,I$427,IF(Tabell2[[#This Row],[Sysselsettingsvekst10]]&gt;=I$428,I$428,Tabell2[[#This Row],[Sysselsettingsvekst10]]))</f>
        <v>9.5199349064279959E-2</v>
      </c>
      <c r="S146" s="32">
        <f>IF(Tabell2[[#This Row],[Yrkesaktivandel]]&lt;=J$427,J$427,IF(Tabell2[[#This Row],[Yrkesaktivandel]]&gt;=J$428,J$428,Tabell2[[#This Row],[Yrkesaktivandel]]))</f>
        <v>0.7970451171433347</v>
      </c>
      <c r="T146" s="67">
        <f>IF(Tabell2[[#This Row],[Inntekt]]&lt;=K$427,K$427,IF(Tabell2[[#This Row],[Inntekt]]&gt;=K$428,K$428,Tabell2[[#This Row],[Inntekt]]))</f>
        <v>387700</v>
      </c>
      <c r="U146" s="10">
        <f>IF(Tabell2[[#This Row],[NIBR11-T]]&lt;=L$430,100,IF(Tabell2[[#This Row],[NIBR11-T]]&gt;=L$429,0,100*(L$429-Tabell2[[#This Row],[NIBR11-T]])/L$432))</f>
        <v>70</v>
      </c>
      <c r="V146" s="10">
        <f>(M$429-Tabell2[[#This Row],[ReisetidOslo-T]])*100/M$432</f>
        <v>45.148586834691471</v>
      </c>
      <c r="W146" s="10">
        <f>100-(N$429-Tabell2[[#This Row],[Beftettotal-T]])*100/N$432</f>
        <v>5.677921041324467</v>
      </c>
      <c r="X146" s="10">
        <f>100-(O$429-Tabell2[[#This Row],[Befvekst10-T]])*100/O$432</f>
        <v>100</v>
      </c>
      <c r="Y146" s="10">
        <f>100-(P$429-Tabell2[[#This Row],[Kvinneandel-T]])*100/P$432</f>
        <v>100</v>
      </c>
      <c r="Z146" s="10">
        <f>(Q$429-Tabell2[[#This Row],[Eldreandel-T]])*100/Q$432</f>
        <v>100</v>
      </c>
      <c r="AA146" s="10">
        <f>100-(R$429-Tabell2[[#This Row],[Sysselsettingsvekst10-T]])*100/R$432</f>
        <v>70.668167677744222</v>
      </c>
      <c r="AB146" s="10">
        <f>100-(S$429-Tabell2[[#This Row],[Yrkesaktivandel-T]])*100/S$432</f>
        <v>0</v>
      </c>
      <c r="AC146" s="10">
        <f>100-(T$429-Tabell2[[#This Row],[Inntekt-T]])*100/T$432</f>
        <v>31.733866488948124</v>
      </c>
      <c r="AD14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59.322854204270833</v>
      </c>
    </row>
    <row r="147" spans="1:30" x14ac:dyDescent="0.25">
      <c r="A147" s="2" t="s">
        <v>141</v>
      </c>
      <c r="B147" s="2">
        <v>145</v>
      </c>
      <c r="C147">
        <f>'Rådata-K'!N146</f>
        <v>2</v>
      </c>
      <c r="D147" s="30">
        <f>'Rådata-K'!M146</f>
        <v>167.625</v>
      </c>
      <c r="E147" s="32">
        <f>'Rådata-K'!O146</f>
        <v>56.199128288609984</v>
      </c>
      <c r="F147" s="32">
        <f>'Rådata-K'!P146</f>
        <v>0.17488198485014816</v>
      </c>
      <c r="G147" s="32">
        <f>'Rådata-K'!Q146</f>
        <v>0.1161465146701551</v>
      </c>
      <c r="H147" s="32">
        <f>'Rådata-K'!R146</f>
        <v>0.14922444402915344</v>
      </c>
      <c r="I147" s="32">
        <f>'Rådata-K'!S146</f>
        <v>0.31306715063520874</v>
      </c>
      <c r="J147" s="32">
        <f>'Rådata-K'!T146</f>
        <v>0.82903012247600127</v>
      </c>
      <c r="K147" s="67">
        <f>'Rådata-K'!L146</f>
        <v>438000</v>
      </c>
      <c r="L147" s="18">
        <f>Tabell2[[#This Row],[NIBR11]]</f>
        <v>2</v>
      </c>
      <c r="M147" s="32">
        <f>IF(Tabell2[[#This Row],[ReisetidOslo]]&lt;=D$427,D$427,IF(Tabell2[[#This Row],[ReisetidOslo]]&gt;=D$428,D$428,Tabell2[[#This Row],[ReisetidOslo]]))</f>
        <v>167.625</v>
      </c>
      <c r="N147" s="32">
        <f>IF(Tabell2[[#This Row],[Beftettotal]]&lt;=E$427,E$427,IF(Tabell2[[#This Row],[Beftettotal]]&gt;=E$428,E$428,Tabell2[[#This Row],[Beftettotal]]))</f>
        <v>56.199128288609984</v>
      </c>
      <c r="O147" s="32">
        <f>IF(Tabell2[[#This Row],[Befvekst10]]&lt;=F$427,F$427,IF(Tabell2[[#This Row],[Befvekst10]]&gt;=F$428,F$428,Tabell2[[#This Row],[Befvekst10]]))</f>
        <v>0.17488198485014816</v>
      </c>
      <c r="P147" s="32">
        <f>IF(Tabell2[[#This Row],[Kvinneandel]]&lt;=G$427,G$427,IF(Tabell2[[#This Row],[Kvinneandel]]&gt;=G$428,G$428,Tabell2[[#This Row],[Kvinneandel]]))</f>
        <v>0.1161465146701551</v>
      </c>
      <c r="Q147" s="32">
        <f>IF(Tabell2[[#This Row],[Eldreandel]]&lt;=H$427,H$427,IF(Tabell2[[#This Row],[Eldreandel]]&gt;=H$428,H$428,Tabell2[[#This Row],[Eldreandel]]))</f>
        <v>0.14922444402915344</v>
      </c>
      <c r="R147" s="32">
        <f>IF(Tabell2[[#This Row],[Sysselsettingsvekst10]]&lt;=I$427,I$427,IF(Tabell2[[#This Row],[Sysselsettingsvekst10]]&gt;=I$428,I$428,Tabell2[[#This Row],[Sysselsettingsvekst10]]))</f>
        <v>0.17904192152607218</v>
      </c>
      <c r="S147" s="32">
        <f>IF(Tabell2[[#This Row],[Yrkesaktivandel]]&lt;=J$427,J$427,IF(Tabell2[[#This Row],[Yrkesaktivandel]]&gt;=J$428,J$428,Tabell2[[#This Row],[Yrkesaktivandel]]))</f>
        <v>0.82903012247600127</v>
      </c>
      <c r="T147" s="67">
        <f>IF(Tabell2[[#This Row],[Inntekt]]&lt;=K$427,K$427,IF(Tabell2[[#This Row],[Inntekt]]&gt;=K$428,K$428,Tabell2[[#This Row],[Inntekt]]))</f>
        <v>438000</v>
      </c>
      <c r="U147" s="10">
        <f>IF(Tabell2[[#This Row],[NIBR11-T]]&lt;=L$430,100,IF(Tabell2[[#This Row],[NIBR11-T]]&gt;=L$429,0,100*(L$429-Tabell2[[#This Row],[NIBR11-T]])/L$432))</f>
        <v>90</v>
      </c>
      <c r="V147" s="10">
        <f>(M$429-Tabell2[[#This Row],[ReisetidOslo-T]])*100/M$432</f>
        <v>51.31488157146272</v>
      </c>
      <c r="W147" s="10">
        <f>100-(N$429-Tabell2[[#This Row],[Beftettotal-T]])*100/N$432</f>
        <v>40.957303827291405</v>
      </c>
      <c r="X147" s="10">
        <f>100-(O$429-Tabell2[[#This Row],[Befvekst10-T]])*100/O$432</f>
        <v>98.82342508760054</v>
      </c>
      <c r="Y147" s="10">
        <f>100-(P$429-Tabell2[[#This Row],[Kvinneandel-T]])*100/P$432</f>
        <v>69.280863519906603</v>
      </c>
      <c r="Z147" s="10">
        <f>(Q$429-Tabell2[[#This Row],[Eldreandel-T]])*100/Q$432</f>
        <v>79.609672399067932</v>
      </c>
      <c r="AA147" s="10">
        <f>100-(R$429-Tabell2[[#This Row],[Sysselsettingsvekst10-T]])*100/R$432</f>
        <v>100</v>
      </c>
      <c r="AB147" s="10">
        <f>100-(S$429-Tabell2[[#This Row],[Yrkesaktivandel-T]])*100/S$432</f>
        <v>24.808972992705137</v>
      </c>
      <c r="AC147" s="10">
        <f>100-(T$429-Tabell2[[#This Row],[Inntekt-T]])*100/T$432</f>
        <v>87.604131956014669</v>
      </c>
      <c r="AD14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75.677740848216217</v>
      </c>
    </row>
    <row r="148" spans="1:30" x14ac:dyDescent="0.25">
      <c r="A148" s="2" t="s">
        <v>142</v>
      </c>
      <c r="B148" s="2">
        <v>146</v>
      </c>
      <c r="C148">
        <f>'Rådata-K'!N147</f>
        <v>2</v>
      </c>
      <c r="D148" s="30">
        <f>'Rådata-K'!M147</f>
        <v>165.75</v>
      </c>
      <c r="E148" s="32">
        <f>'Rådata-K'!O147</f>
        <v>7.6800996722089563</v>
      </c>
      <c r="F148" s="32">
        <f>'Rådata-K'!P147</f>
        <v>0.17388347313534336</v>
      </c>
      <c r="G148" s="32">
        <f>'Rådata-K'!Q147</f>
        <v>0.12765546543066822</v>
      </c>
      <c r="H148" s="32">
        <f>'Rådata-K'!R147</f>
        <v>0.1336423329470838</v>
      </c>
      <c r="I148" s="32">
        <f>'Rådata-K'!S147</f>
        <v>6.4391500321957507E-2</v>
      </c>
      <c r="J148" s="32">
        <f>'Rådata-K'!T147</f>
        <v>0.83042137718396714</v>
      </c>
      <c r="K148" s="67">
        <f>'Rådata-K'!L147</f>
        <v>375400</v>
      </c>
      <c r="L148" s="18">
        <f>Tabell2[[#This Row],[NIBR11]]</f>
        <v>2</v>
      </c>
      <c r="M148" s="32">
        <f>IF(Tabell2[[#This Row],[ReisetidOslo]]&lt;=D$427,D$427,IF(Tabell2[[#This Row],[ReisetidOslo]]&gt;=D$428,D$428,Tabell2[[#This Row],[ReisetidOslo]]))</f>
        <v>165.75</v>
      </c>
      <c r="N148" s="32">
        <f>IF(Tabell2[[#This Row],[Beftettotal]]&lt;=E$427,E$427,IF(Tabell2[[#This Row],[Beftettotal]]&gt;=E$428,E$428,Tabell2[[#This Row],[Beftettotal]]))</f>
        <v>7.6800996722089563</v>
      </c>
      <c r="O148" s="32">
        <f>IF(Tabell2[[#This Row],[Befvekst10]]&lt;=F$427,F$427,IF(Tabell2[[#This Row],[Befvekst10]]&gt;=F$428,F$428,Tabell2[[#This Row],[Befvekst10]]))</f>
        <v>0.17388347313534336</v>
      </c>
      <c r="P148" s="32">
        <f>IF(Tabell2[[#This Row],[Kvinneandel]]&lt;=G$427,G$427,IF(Tabell2[[#This Row],[Kvinneandel]]&gt;=G$428,G$428,Tabell2[[#This Row],[Kvinneandel]]))</f>
        <v>0.12765546543066822</v>
      </c>
      <c r="Q148" s="32">
        <f>IF(Tabell2[[#This Row],[Eldreandel]]&lt;=H$427,H$427,IF(Tabell2[[#This Row],[Eldreandel]]&gt;=H$428,H$428,Tabell2[[#This Row],[Eldreandel]]))</f>
        <v>0.1336423329470838</v>
      </c>
      <c r="R148" s="32">
        <f>IF(Tabell2[[#This Row],[Sysselsettingsvekst10]]&lt;=I$427,I$427,IF(Tabell2[[#This Row],[Sysselsettingsvekst10]]&gt;=I$428,I$428,Tabell2[[#This Row],[Sysselsettingsvekst10]]))</f>
        <v>6.4391500321957507E-2</v>
      </c>
      <c r="S148" s="32">
        <f>IF(Tabell2[[#This Row],[Yrkesaktivandel]]&lt;=J$427,J$427,IF(Tabell2[[#This Row],[Yrkesaktivandel]]&gt;=J$428,J$428,Tabell2[[#This Row],[Yrkesaktivandel]]))</f>
        <v>0.83042137718396714</v>
      </c>
      <c r="T148" s="67">
        <f>IF(Tabell2[[#This Row],[Inntekt]]&lt;=K$427,K$427,IF(Tabell2[[#This Row],[Inntekt]]&gt;=K$428,K$428,Tabell2[[#This Row],[Inntekt]]))</f>
        <v>375400</v>
      </c>
      <c r="U148" s="10">
        <f>IF(Tabell2[[#This Row],[NIBR11-T]]&lt;=L$430,100,IF(Tabell2[[#This Row],[NIBR11-T]]&gt;=L$429,0,100*(L$429-Tabell2[[#This Row],[NIBR11-T]])/L$432))</f>
        <v>90</v>
      </c>
      <c r="V148" s="10">
        <f>(M$429-Tabell2[[#This Row],[ReisetidOslo-T]])*100/M$432</f>
        <v>52.122693109031005</v>
      </c>
      <c r="W148" s="10">
        <f>100-(N$429-Tabell2[[#This Row],[Beftettotal-T]])*100/N$432</f>
        <v>4.7957874155956404</v>
      </c>
      <c r="X148" s="10">
        <f>100-(O$429-Tabell2[[#This Row],[Befvekst10-T]])*100/O$432</f>
        <v>98.393291398253311</v>
      </c>
      <c r="Y148" s="10">
        <f>100-(P$429-Tabell2[[#This Row],[Kvinneandel-T]])*100/P$432</f>
        <v>99.679491909608046</v>
      </c>
      <c r="Z148" s="10">
        <f>(Q$429-Tabell2[[#This Row],[Eldreandel-T]])*100/Q$432</f>
        <v>96.416728601702275</v>
      </c>
      <c r="AA148" s="10">
        <f>100-(R$429-Tabell2[[#This Row],[Sysselsettingsvekst10-T]])*100/R$432</f>
        <v>59.890222452709274</v>
      </c>
      <c r="AB148" s="10">
        <f>100-(S$429-Tabell2[[#This Row],[Yrkesaktivandel-T]])*100/S$432</f>
        <v>25.888091164389408</v>
      </c>
      <c r="AC148" s="10">
        <f>100-(T$429-Tabell2[[#This Row],[Inntekt-T]])*100/T$432</f>
        <v>18.071753859824497</v>
      </c>
      <c r="AD14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63.560324105371151</v>
      </c>
    </row>
    <row r="149" spans="1:30" x14ac:dyDescent="0.25">
      <c r="A149" s="2" t="s">
        <v>143</v>
      </c>
      <c r="B149" s="2">
        <v>147</v>
      </c>
      <c r="C149">
        <f>'Rådata-K'!N148</f>
        <v>4</v>
      </c>
      <c r="D149" s="30">
        <f>'Rådata-K'!M148</f>
        <v>183.9375</v>
      </c>
      <c r="E149" s="32">
        <f>'Rådata-K'!O148</f>
        <v>1.6415917071315482</v>
      </c>
      <c r="F149" s="32">
        <f>'Rådata-K'!P148</f>
        <v>2.2589531680440755E-2</v>
      </c>
      <c r="G149" s="32">
        <f>'Rådata-K'!Q148</f>
        <v>0.1050646551724138</v>
      </c>
      <c r="H149" s="32">
        <f>'Rådata-K'!R148</f>
        <v>0.17564655172413793</v>
      </c>
      <c r="I149" s="32">
        <f>'Rådata-K'!S148</f>
        <v>8.5434173669467706E-2</v>
      </c>
      <c r="J149" s="32">
        <f>'Rådata-K'!T148</f>
        <v>0.79273084479371314</v>
      </c>
      <c r="K149" s="67">
        <f>'Rådata-K'!L148</f>
        <v>386500</v>
      </c>
      <c r="L149" s="18">
        <f>Tabell2[[#This Row],[NIBR11]]</f>
        <v>4</v>
      </c>
      <c r="M149" s="32">
        <f>IF(Tabell2[[#This Row],[ReisetidOslo]]&lt;=D$427,D$427,IF(Tabell2[[#This Row],[ReisetidOslo]]&gt;=D$428,D$428,Tabell2[[#This Row],[ReisetidOslo]]))</f>
        <v>183.9375</v>
      </c>
      <c r="N149" s="32">
        <f>IF(Tabell2[[#This Row],[Beftettotal]]&lt;=E$427,E$427,IF(Tabell2[[#This Row],[Beftettotal]]&gt;=E$428,E$428,Tabell2[[#This Row],[Beftettotal]]))</f>
        <v>1.6415917071315482</v>
      </c>
      <c r="O149" s="32">
        <f>IF(Tabell2[[#This Row],[Befvekst10]]&lt;=F$427,F$427,IF(Tabell2[[#This Row],[Befvekst10]]&gt;=F$428,F$428,Tabell2[[#This Row],[Befvekst10]]))</f>
        <v>2.2589531680440755E-2</v>
      </c>
      <c r="P149" s="32">
        <f>IF(Tabell2[[#This Row],[Kvinneandel]]&lt;=G$427,G$427,IF(Tabell2[[#This Row],[Kvinneandel]]&gt;=G$428,G$428,Tabell2[[#This Row],[Kvinneandel]]))</f>
        <v>0.1050646551724138</v>
      </c>
      <c r="Q149" s="32">
        <f>IF(Tabell2[[#This Row],[Eldreandel]]&lt;=H$427,H$427,IF(Tabell2[[#This Row],[Eldreandel]]&gt;=H$428,H$428,Tabell2[[#This Row],[Eldreandel]]))</f>
        <v>0.17564655172413793</v>
      </c>
      <c r="R149" s="32">
        <f>IF(Tabell2[[#This Row],[Sysselsettingsvekst10]]&lt;=I$427,I$427,IF(Tabell2[[#This Row],[Sysselsettingsvekst10]]&gt;=I$428,I$428,Tabell2[[#This Row],[Sysselsettingsvekst10]]))</f>
        <v>8.5434173669467706E-2</v>
      </c>
      <c r="S149" s="32">
        <f>IF(Tabell2[[#This Row],[Yrkesaktivandel]]&lt;=J$427,J$427,IF(Tabell2[[#This Row],[Yrkesaktivandel]]&gt;=J$428,J$428,Tabell2[[#This Row],[Yrkesaktivandel]]))</f>
        <v>0.7970451171433347</v>
      </c>
      <c r="T149" s="67">
        <f>IF(Tabell2[[#This Row],[Inntekt]]&lt;=K$427,K$427,IF(Tabell2[[#This Row],[Inntekt]]&gt;=K$428,K$428,Tabell2[[#This Row],[Inntekt]]))</f>
        <v>386500</v>
      </c>
      <c r="U149" s="10">
        <f>IF(Tabell2[[#This Row],[NIBR11-T]]&lt;=L$430,100,IF(Tabell2[[#This Row],[NIBR11-T]]&gt;=L$429,0,100*(L$429-Tabell2[[#This Row],[NIBR11-T]])/L$432))</f>
        <v>70</v>
      </c>
      <c r="V149" s="10">
        <f>(M$429-Tabell2[[#This Row],[ReisetidOslo-T]])*100/M$432</f>
        <v>44.286921194618635</v>
      </c>
      <c r="W149" s="10">
        <f>100-(N$429-Tabell2[[#This Row],[Beftettotal-T]])*100/N$432</f>
        <v>0.29525203580263337</v>
      </c>
      <c r="X149" s="10">
        <f>100-(O$429-Tabell2[[#This Row],[Befvekst10-T]])*100/O$432</f>
        <v>33.219673253371354</v>
      </c>
      <c r="Y149" s="10">
        <f>100-(P$429-Tabell2[[#This Row],[Kvinneandel-T]])*100/P$432</f>
        <v>40.010312646188005</v>
      </c>
      <c r="Z149" s="10">
        <f>(Q$429-Tabell2[[#This Row],[Eldreandel-T]])*100/Q$432</f>
        <v>51.110462845064504</v>
      </c>
      <c r="AA149" s="10">
        <f>100-(R$429-Tabell2[[#This Row],[Sysselsettingsvekst10-T]])*100/R$432</f>
        <v>67.251878328934225</v>
      </c>
      <c r="AB149" s="10">
        <f>100-(S$429-Tabell2[[#This Row],[Yrkesaktivandel-T]])*100/S$432</f>
        <v>0</v>
      </c>
      <c r="AC149" s="10">
        <f>100-(T$429-Tabell2[[#This Row],[Inntekt-T]])*100/T$432</f>
        <v>30.400977451960458</v>
      </c>
      <c r="AD14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39.423476326368494</v>
      </c>
    </row>
    <row r="150" spans="1:30" x14ac:dyDescent="0.25">
      <c r="A150" s="2" t="s">
        <v>144</v>
      </c>
      <c r="B150" s="2">
        <v>148</v>
      </c>
      <c r="C150">
        <f>'Rådata-K'!N149</f>
        <v>2</v>
      </c>
      <c r="D150" s="30">
        <f>'Rådata-K'!M149</f>
        <v>181.625</v>
      </c>
      <c r="E150" s="32">
        <f>'Rådata-K'!O149</f>
        <v>5.1293811871727248</v>
      </c>
      <c r="F150" s="32">
        <f>'Rådata-K'!P149</f>
        <v>0.12678421494542391</v>
      </c>
      <c r="G150" s="32">
        <f>'Rådata-K'!Q149</f>
        <v>0.12593144560357675</v>
      </c>
      <c r="H150" s="32">
        <f>'Rådata-K'!R149</f>
        <v>0.12071535022354694</v>
      </c>
      <c r="I150" s="32">
        <f>'Rådata-K'!S149</f>
        <v>0.30640668523676884</v>
      </c>
      <c r="J150" s="32">
        <f>'Rådata-K'!T149</f>
        <v>0.79974489795918369</v>
      </c>
      <c r="K150" s="67">
        <f>'Rådata-K'!L149</f>
        <v>370200</v>
      </c>
      <c r="L150" s="18">
        <f>Tabell2[[#This Row],[NIBR11]]</f>
        <v>2</v>
      </c>
      <c r="M150" s="32">
        <f>IF(Tabell2[[#This Row],[ReisetidOslo]]&lt;=D$427,D$427,IF(Tabell2[[#This Row],[ReisetidOslo]]&gt;=D$428,D$428,Tabell2[[#This Row],[ReisetidOslo]]))</f>
        <v>181.625</v>
      </c>
      <c r="N150" s="32">
        <f>IF(Tabell2[[#This Row],[Beftettotal]]&lt;=E$427,E$427,IF(Tabell2[[#This Row],[Beftettotal]]&gt;=E$428,E$428,Tabell2[[#This Row],[Beftettotal]]))</f>
        <v>5.1293811871727248</v>
      </c>
      <c r="O150" s="32">
        <f>IF(Tabell2[[#This Row],[Befvekst10]]&lt;=F$427,F$427,IF(Tabell2[[#This Row],[Befvekst10]]&gt;=F$428,F$428,Tabell2[[#This Row],[Befvekst10]]))</f>
        <v>0.12678421494542391</v>
      </c>
      <c r="P150" s="32">
        <f>IF(Tabell2[[#This Row],[Kvinneandel]]&lt;=G$427,G$427,IF(Tabell2[[#This Row],[Kvinneandel]]&gt;=G$428,G$428,Tabell2[[#This Row],[Kvinneandel]]))</f>
        <v>0.12593144560357675</v>
      </c>
      <c r="Q150" s="32">
        <f>IF(Tabell2[[#This Row],[Eldreandel]]&lt;=H$427,H$427,IF(Tabell2[[#This Row],[Eldreandel]]&gt;=H$428,H$428,Tabell2[[#This Row],[Eldreandel]]))</f>
        <v>0.13032022035982854</v>
      </c>
      <c r="R150" s="32">
        <f>IF(Tabell2[[#This Row],[Sysselsettingsvekst10]]&lt;=I$427,I$427,IF(Tabell2[[#This Row],[Sysselsettingsvekst10]]&gt;=I$428,I$428,Tabell2[[#This Row],[Sysselsettingsvekst10]]))</f>
        <v>0.17904192152607218</v>
      </c>
      <c r="S150" s="32">
        <f>IF(Tabell2[[#This Row],[Yrkesaktivandel]]&lt;=J$427,J$427,IF(Tabell2[[#This Row],[Yrkesaktivandel]]&gt;=J$428,J$428,Tabell2[[#This Row],[Yrkesaktivandel]]))</f>
        <v>0.79974489795918369</v>
      </c>
      <c r="T150" s="67">
        <f>IF(Tabell2[[#This Row],[Inntekt]]&lt;=K$427,K$427,IF(Tabell2[[#This Row],[Inntekt]]&gt;=K$428,K$428,Tabell2[[#This Row],[Inntekt]]))</f>
        <v>370200</v>
      </c>
      <c r="U150" s="10">
        <f>IF(Tabell2[[#This Row],[NIBR11-T]]&lt;=L$430,100,IF(Tabell2[[#This Row],[NIBR11-T]]&gt;=L$429,0,100*(L$429-Tabell2[[#This Row],[NIBR11-T]])/L$432))</f>
        <v>90</v>
      </c>
      <c r="V150" s="10">
        <f>(M$429-Tabell2[[#This Row],[ReisetidOslo-T]])*100/M$432</f>
        <v>45.283222090952854</v>
      </c>
      <c r="W150" s="10">
        <f>100-(N$429-Tabell2[[#This Row],[Beftettotal-T]])*100/N$432</f>
        <v>2.8947219782081817</v>
      </c>
      <c r="X150" s="10">
        <f>100-(O$429-Tabell2[[#This Row],[Befvekst10-T]])*100/O$432</f>
        <v>78.104117630564787</v>
      </c>
      <c r="Y150" s="10">
        <f>100-(P$429-Tabell2[[#This Row],[Kvinneandel-T]])*100/P$432</f>
        <v>95.125832835833847</v>
      </c>
      <c r="Z150" s="10">
        <f>(Q$429-Tabell2[[#This Row],[Eldreandel-T]])*100/Q$432</f>
        <v>100</v>
      </c>
      <c r="AA150" s="10">
        <f>100-(R$429-Tabell2[[#This Row],[Sysselsettingsvekst10-T]])*100/R$432</f>
        <v>100</v>
      </c>
      <c r="AB150" s="10">
        <f>100-(S$429-Tabell2[[#This Row],[Yrkesaktivandel-T]])*100/S$432</f>
        <v>2.0940684126825744</v>
      </c>
      <c r="AC150" s="10">
        <f>100-(T$429-Tabell2[[#This Row],[Inntekt-T]])*100/T$432</f>
        <v>12.295901366211268</v>
      </c>
      <c r="AD15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59.633906552710137</v>
      </c>
    </row>
    <row r="151" spans="1:30" x14ac:dyDescent="0.25">
      <c r="A151" s="2" t="s">
        <v>145</v>
      </c>
      <c r="B151" s="2">
        <v>149</v>
      </c>
      <c r="C151">
        <f>'Rådata-K'!N150</f>
        <v>5</v>
      </c>
      <c r="D151" s="30">
        <f>'Rådata-K'!M150</f>
        <v>199.3125</v>
      </c>
      <c r="E151" s="32">
        <f>'Rådata-K'!O150</f>
        <v>6.5681624048125329</v>
      </c>
      <c r="F151" s="32">
        <f>'Rådata-K'!P150</f>
        <v>9.0196078431372451E-2</v>
      </c>
      <c r="G151" s="32">
        <f>'Rådata-K'!Q150</f>
        <v>0.1170448256779192</v>
      </c>
      <c r="H151" s="32">
        <f>'Rådata-K'!R150</f>
        <v>0.16685113447703376</v>
      </c>
      <c r="I151" s="32">
        <f>'Rådata-K'!S150</f>
        <v>6.6181336863004647E-2</v>
      </c>
      <c r="J151" s="32">
        <f>'Rådata-K'!T150</f>
        <v>0.84603658536585369</v>
      </c>
      <c r="K151" s="67">
        <f>'Rådata-K'!L150</f>
        <v>374600</v>
      </c>
      <c r="L151" s="18">
        <f>Tabell2[[#This Row],[NIBR11]]</f>
        <v>5</v>
      </c>
      <c r="M151" s="32">
        <f>IF(Tabell2[[#This Row],[ReisetidOslo]]&lt;=D$427,D$427,IF(Tabell2[[#This Row],[ReisetidOslo]]&gt;=D$428,D$428,Tabell2[[#This Row],[ReisetidOslo]]))</f>
        <v>199.3125</v>
      </c>
      <c r="N151" s="32">
        <f>IF(Tabell2[[#This Row],[Beftettotal]]&lt;=E$427,E$427,IF(Tabell2[[#This Row],[Beftettotal]]&gt;=E$428,E$428,Tabell2[[#This Row],[Beftettotal]]))</f>
        <v>6.5681624048125329</v>
      </c>
      <c r="O151" s="32">
        <f>IF(Tabell2[[#This Row],[Befvekst10]]&lt;=F$427,F$427,IF(Tabell2[[#This Row],[Befvekst10]]&gt;=F$428,F$428,Tabell2[[#This Row],[Befvekst10]]))</f>
        <v>9.0196078431372451E-2</v>
      </c>
      <c r="P151" s="32">
        <f>IF(Tabell2[[#This Row],[Kvinneandel]]&lt;=G$427,G$427,IF(Tabell2[[#This Row],[Kvinneandel]]&gt;=G$428,G$428,Tabell2[[#This Row],[Kvinneandel]]))</f>
        <v>0.1170448256779192</v>
      </c>
      <c r="Q151" s="32">
        <f>IF(Tabell2[[#This Row],[Eldreandel]]&lt;=H$427,H$427,IF(Tabell2[[#This Row],[Eldreandel]]&gt;=H$428,H$428,Tabell2[[#This Row],[Eldreandel]]))</f>
        <v>0.16685113447703376</v>
      </c>
      <c r="R151" s="32">
        <f>IF(Tabell2[[#This Row],[Sysselsettingsvekst10]]&lt;=I$427,I$427,IF(Tabell2[[#This Row],[Sysselsettingsvekst10]]&gt;=I$428,I$428,Tabell2[[#This Row],[Sysselsettingsvekst10]]))</f>
        <v>6.6181336863004647E-2</v>
      </c>
      <c r="S151" s="32">
        <f>IF(Tabell2[[#This Row],[Yrkesaktivandel]]&lt;=J$427,J$427,IF(Tabell2[[#This Row],[Yrkesaktivandel]]&gt;=J$428,J$428,Tabell2[[#This Row],[Yrkesaktivandel]]))</f>
        <v>0.84603658536585369</v>
      </c>
      <c r="T151" s="67">
        <f>IF(Tabell2[[#This Row],[Inntekt]]&lt;=K$427,K$427,IF(Tabell2[[#This Row],[Inntekt]]&gt;=K$428,K$428,Tabell2[[#This Row],[Inntekt]]))</f>
        <v>374600</v>
      </c>
      <c r="U151" s="10">
        <f>IF(Tabell2[[#This Row],[NIBR11-T]]&lt;=L$430,100,IF(Tabell2[[#This Row],[NIBR11-T]]&gt;=L$429,0,100*(L$429-Tabell2[[#This Row],[NIBR11-T]])/L$432))</f>
        <v>60</v>
      </c>
      <c r="V151" s="10">
        <f>(M$429-Tabell2[[#This Row],[ReisetidOslo-T]])*100/M$432</f>
        <v>37.6628665865587</v>
      </c>
      <c r="W151" s="10">
        <f>100-(N$429-Tabell2[[#This Row],[Beftettotal-T]])*100/N$432</f>
        <v>3.9670540528230021</v>
      </c>
      <c r="X151" s="10">
        <f>100-(O$429-Tabell2[[#This Row],[Befvekst10-T]])*100/O$432</f>
        <v>62.342870254308188</v>
      </c>
      <c r="Y151" s="10">
        <f>100-(P$429-Tabell2[[#This Row],[Kvinneandel-T]])*100/P$432</f>
        <v>71.653575252855347</v>
      </c>
      <c r="Z151" s="10">
        <f>(Q$429-Tabell2[[#This Row],[Eldreandel-T]])*100/Q$432</f>
        <v>60.597307805873555</v>
      </c>
      <c r="AA151" s="10">
        <f>100-(R$429-Tabell2[[#This Row],[Sysselsettingsvekst10-T]])*100/R$432</f>
        <v>60.516386270979105</v>
      </c>
      <c r="AB151" s="10">
        <f>100-(S$429-Tabell2[[#This Row],[Yrkesaktivandel-T]])*100/S$432</f>
        <v>37.999931510535582</v>
      </c>
      <c r="AC151" s="10">
        <f>100-(T$429-Tabell2[[#This Row],[Inntekt-T]])*100/T$432</f>
        <v>17.183161168499396</v>
      </c>
      <c r="AD15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46.814058162737659</v>
      </c>
    </row>
    <row r="152" spans="1:30" x14ac:dyDescent="0.25">
      <c r="A152" s="2" t="s">
        <v>146</v>
      </c>
      <c r="B152" s="2">
        <v>150</v>
      </c>
      <c r="C152">
        <f>'Rådata-K'!N151</f>
        <v>5</v>
      </c>
      <c r="D152" s="30">
        <f>'Rådata-K'!M151</f>
        <v>225.53125</v>
      </c>
      <c r="E152" s="32">
        <f>'Rådata-K'!O151</f>
        <v>0.91487123187411368</v>
      </c>
      <c r="F152" s="32">
        <f>'Rådata-K'!P151</f>
        <v>-5.6603773584905648E-2</v>
      </c>
      <c r="G152" s="32">
        <f>'Rådata-K'!Q151</f>
        <v>9.8333333333333328E-2</v>
      </c>
      <c r="H152" s="32">
        <f>'Rådata-K'!R151</f>
        <v>0.18583333333333332</v>
      </c>
      <c r="I152" s="32">
        <f>'Rådata-K'!S151</f>
        <v>-5.1851851851851816E-2</v>
      </c>
      <c r="J152" s="32">
        <f>'Rådata-K'!T151</f>
        <v>0.82466567607726593</v>
      </c>
      <c r="K152" s="67">
        <f>'Rådata-K'!L151</f>
        <v>368500</v>
      </c>
      <c r="L152" s="18">
        <f>Tabell2[[#This Row],[NIBR11]]</f>
        <v>5</v>
      </c>
      <c r="M152" s="32">
        <f>IF(Tabell2[[#This Row],[ReisetidOslo]]&lt;=D$427,D$427,IF(Tabell2[[#This Row],[ReisetidOslo]]&gt;=D$428,D$428,Tabell2[[#This Row],[ReisetidOslo]]))</f>
        <v>225.53125</v>
      </c>
      <c r="N152" s="32">
        <f>IF(Tabell2[[#This Row],[Beftettotal]]&lt;=E$427,E$427,IF(Tabell2[[#This Row],[Beftettotal]]&gt;=E$428,E$428,Tabell2[[#This Row],[Beftettotal]]))</f>
        <v>1.2454428893921135</v>
      </c>
      <c r="O152" s="32">
        <f>IF(Tabell2[[#This Row],[Befvekst10]]&lt;=F$427,F$427,IF(Tabell2[[#This Row],[Befvekst10]]&gt;=F$428,F$428,Tabell2[[#This Row],[Befvekst10]]))</f>
        <v>-5.4526569027269343E-2</v>
      </c>
      <c r="P152" s="32">
        <f>IF(Tabell2[[#This Row],[Kvinneandel]]&lt;=G$427,G$427,IF(Tabell2[[#This Row],[Kvinneandel]]&gt;=G$428,G$428,Tabell2[[#This Row],[Kvinneandel]]))</f>
        <v>9.8333333333333328E-2</v>
      </c>
      <c r="Q152" s="32">
        <f>IF(Tabell2[[#This Row],[Eldreandel]]&lt;=H$427,H$427,IF(Tabell2[[#This Row],[Eldreandel]]&gt;=H$428,H$428,Tabell2[[#This Row],[Eldreandel]]))</f>
        <v>0.18583333333333332</v>
      </c>
      <c r="R152" s="32">
        <f>IF(Tabell2[[#This Row],[Sysselsettingsvekst10]]&lt;=I$427,I$427,IF(Tabell2[[#This Row],[Sysselsettingsvekst10]]&gt;=I$428,I$428,Tabell2[[#This Row],[Sysselsettingsvekst10]]))</f>
        <v>-5.1851851851851816E-2</v>
      </c>
      <c r="S152" s="32">
        <f>IF(Tabell2[[#This Row],[Yrkesaktivandel]]&lt;=J$427,J$427,IF(Tabell2[[#This Row],[Yrkesaktivandel]]&gt;=J$428,J$428,Tabell2[[#This Row],[Yrkesaktivandel]]))</f>
        <v>0.82466567607726593</v>
      </c>
      <c r="T152" s="67">
        <f>IF(Tabell2[[#This Row],[Inntekt]]&lt;=K$427,K$427,IF(Tabell2[[#This Row],[Inntekt]]&gt;=K$428,K$428,Tabell2[[#This Row],[Inntekt]]))</f>
        <v>368500</v>
      </c>
      <c r="U152" s="10">
        <f>IF(Tabell2[[#This Row],[NIBR11-T]]&lt;=L$430,100,IF(Tabell2[[#This Row],[NIBR11-T]]&gt;=L$429,0,100*(L$429-Tabell2[[#This Row],[NIBR11-T]])/L$432))</f>
        <v>60</v>
      </c>
      <c r="V152" s="10">
        <f>(M$429-Tabell2[[#This Row],[ReisetidOslo-T]])*100/M$432</f>
        <v>26.366968586228847</v>
      </c>
      <c r="W152" s="10">
        <f>100-(N$429-Tabell2[[#This Row],[Beftettotal-T]])*100/N$432</f>
        <v>0</v>
      </c>
      <c r="X152" s="10">
        <f>100-(O$429-Tabell2[[#This Row],[Befvekst10-T]])*100/O$432</f>
        <v>0</v>
      </c>
      <c r="Y152" s="10">
        <f>100-(P$429-Tabell2[[#This Row],[Kvinneandel-T]])*100/P$432</f>
        <v>22.23085078075502</v>
      </c>
      <c r="Z152" s="10">
        <f>(Q$429-Tabell2[[#This Row],[Eldreandel-T]])*100/Q$432</f>
        <v>40.122875211530022</v>
      </c>
      <c r="AA152" s="10">
        <f>100-(R$429-Tabell2[[#This Row],[Sysselsettingsvekst10-T]])*100/R$432</f>
        <v>19.223167346630575</v>
      </c>
      <c r="AB152" s="10">
        <f>100-(S$429-Tabell2[[#This Row],[Yrkesaktivandel-T]])*100/S$432</f>
        <v>21.423716941997213</v>
      </c>
      <c r="AC152" s="10">
        <f>100-(T$429-Tabell2[[#This Row],[Inntekt-T]])*100/T$432</f>
        <v>10.407641897145396</v>
      </c>
      <c r="AD15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22.859835776814457</v>
      </c>
    </row>
    <row r="153" spans="1:30" x14ac:dyDescent="0.25">
      <c r="A153" s="2" t="s">
        <v>147</v>
      </c>
      <c r="B153" s="2">
        <v>151</v>
      </c>
      <c r="C153">
        <f>'Rådata-K'!N152</f>
        <v>11</v>
      </c>
      <c r="D153" s="30">
        <f>'Rådata-K'!M152</f>
        <v>222.71875</v>
      </c>
      <c r="E153" s="32">
        <f>'Rådata-K'!O152</f>
        <v>0.98473891773557476</v>
      </c>
      <c r="F153" s="32">
        <f>'Rådata-K'!P152</f>
        <v>-5.6060606060606033E-2</v>
      </c>
      <c r="G153" s="32">
        <f>'Rådata-K'!Q152</f>
        <v>0.10112359550561797</v>
      </c>
      <c r="H153" s="32">
        <f>'Rådata-K'!R152</f>
        <v>0.17335473515248795</v>
      </c>
      <c r="I153" s="32">
        <f>'Rådata-K'!S152</f>
        <v>-0.10660660660660659</v>
      </c>
      <c r="J153" s="32">
        <f>'Rådata-K'!T152</f>
        <v>0.91298145506419404</v>
      </c>
      <c r="K153" s="67">
        <f>'Rådata-K'!L152</f>
        <v>408800</v>
      </c>
      <c r="L153" s="18">
        <f>Tabell2[[#This Row],[NIBR11]]</f>
        <v>11</v>
      </c>
      <c r="M153" s="32">
        <f>IF(Tabell2[[#This Row],[ReisetidOslo]]&lt;=D$427,D$427,IF(Tabell2[[#This Row],[ReisetidOslo]]&gt;=D$428,D$428,Tabell2[[#This Row],[ReisetidOslo]]))</f>
        <v>222.71875</v>
      </c>
      <c r="N153" s="32">
        <f>IF(Tabell2[[#This Row],[Beftettotal]]&lt;=E$427,E$427,IF(Tabell2[[#This Row],[Beftettotal]]&gt;=E$428,E$428,Tabell2[[#This Row],[Beftettotal]]))</f>
        <v>1.2454428893921135</v>
      </c>
      <c r="O153" s="32">
        <f>IF(Tabell2[[#This Row],[Befvekst10]]&lt;=F$427,F$427,IF(Tabell2[[#This Row],[Befvekst10]]&gt;=F$428,F$428,Tabell2[[#This Row],[Befvekst10]]))</f>
        <v>-5.4526569027269343E-2</v>
      </c>
      <c r="P153" s="32">
        <f>IF(Tabell2[[#This Row],[Kvinneandel]]&lt;=G$427,G$427,IF(Tabell2[[#This Row],[Kvinneandel]]&gt;=G$428,G$428,Tabell2[[#This Row],[Kvinneandel]]))</f>
        <v>0.10112359550561797</v>
      </c>
      <c r="Q153" s="32">
        <f>IF(Tabell2[[#This Row],[Eldreandel]]&lt;=H$427,H$427,IF(Tabell2[[#This Row],[Eldreandel]]&gt;=H$428,H$428,Tabell2[[#This Row],[Eldreandel]]))</f>
        <v>0.17335473515248795</v>
      </c>
      <c r="R153" s="32">
        <f>IF(Tabell2[[#This Row],[Sysselsettingsvekst10]]&lt;=I$427,I$427,IF(Tabell2[[#This Row],[Sysselsettingsvekst10]]&gt;=I$428,I$428,Tabell2[[#This Row],[Sysselsettingsvekst10]]))</f>
        <v>-0.10660660660660659</v>
      </c>
      <c r="S153" s="32">
        <f>IF(Tabell2[[#This Row],[Yrkesaktivandel]]&lt;=J$427,J$427,IF(Tabell2[[#This Row],[Yrkesaktivandel]]&gt;=J$428,J$428,Tabell2[[#This Row],[Yrkesaktivandel]]))</f>
        <v>0.91298145506419404</v>
      </c>
      <c r="T153" s="67">
        <f>IF(Tabell2[[#This Row],[Inntekt]]&lt;=K$427,K$427,IF(Tabell2[[#This Row],[Inntekt]]&gt;=K$428,K$428,Tabell2[[#This Row],[Inntekt]]))</f>
        <v>408800</v>
      </c>
      <c r="U153" s="10">
        <f>IF(Tabell2[[#This Row],[NIBR11-T]]&lt;=L$430,100,IF(Tabell2[[#This Row],[NIBR11-T]]&gt;=L$429,0,100*(L$429-Tabell2[[#This Row],[NIBR11-T]])/L$432))</f>
        <v>0</v>
      </c>
      <c r="V153" s="10">
        <f>(M$429-Tabell2[[#This Row],[ReisetidOslo-T]])*100/M$432</f>
        <v>27.578685892581277</v>
      </c>
      <c r="W153" s="10">
        <f>100-(N$429-Tabell2[[#This Row],[Beftettotal-T]])*100/N$432</f>
        <v>0</v>
      </c>
      <c r="X153" s="10">
        <f>100-(O$429-Tabell2[[#This Row],[Befvekst10-T]])*100/O$432</f>
        <v>0</v>
      </c>
      <c r="Y153" s="10">
        <f>100-(P$429-Tabell2[[#This Row],[Kvinneandel-T]])*100/P$432</f>
        <v>29.600779165203193</v>
      </c>
      <c r="Z153" s="10">
        <f>(Q$429-Tabell2[[#This Row],[Eldreandel-T]])*100/Q$432</f>
        <v>53.58244431939589</v>
      </c>
      <c r="AA153" s="10">
        <f>100-(R$429-Tabell2[[#This Row],[Sysselsettingsvekst10-T]])*100/R$432</f>
        <v>6.753747799076848E-2</v>
      </c>
      <c r="AB153" s="10">
        <f>100-(S$429-Tabell2[[#This Row],[Yrkesaktivandel-T]])*100/S$432</f>
        <v>89.925308638738386</v>
      </c>
      <c r="AC153" s="10">
        <f>100-(T$429-Tabell2[[#This Row],[Inntekt-T]])*100/T$432</f>
        <v>55.170498722648006</v>
      </c>
      <c r="AD15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21.4333642474258</v>
      </c>
    </row>
    <row r="154" spans="1:30" x14ac:dyDescent="0.25">
      <c r="A154" s="2" t="s">
        <v>148</v>
      </c>
      <c r="B154" s="2">
        <v>152</v>
      </c>
      <c r="C154">
        <f>'Rådata-K'!N153</f>
        <v>11</v>
      </c>
      <c r="D154" s="30">
        <f>'Rådata-K'!M153</f>
        <v>219.4375</v>
      </c>
      <c r="E154" s="32">
        <f>'Rådata-K'!O153</f>
        <v>0.64888592012977708</v>
      </c>
      <c r="F154" s="32">
        <f>'Rådata-K'!P153</f>
        <v>5.5432372505543226E-2</v>
      </c>
      <c r="G154" s="32">
        <f>'Rådata-K'!Q153</f>
        <v>0.13340336134453781</v>
      </c>
      <c r="H154" s="32">
        <f>'Rådata-K'!R153</f>
        <v>0.11659663865546219</v>
      </c>
      <c r="I154" s="32">
        <f>'Rådata-K'!S153</f>
        <v>0.18401486988847582</v>
      </c>
      <c r="J154" s="32">
        <f>'Rådata-K'!T153</f>
        <v>0.93399339933993397</v>
      </c>
      <c r="K154" s="67">
        <f>'Rådata-K'!L153</f>
        <v>439500</v>
      </c>
      <c r="L154" s="18">
        <f>Tabell2[[#This Row],[NIBR11]]</f>
        <v>11</v>
      </c>
      <c r="M154" s="32">
        <f>IF(Tabell2[[#This Row],[ReisetidOslo]]&lt;=D$427,D$427,IF(Tabell2[[#This Row],[ReisetidOslo]]&gt;=D$428,D$428,Tabell2[[#This Row],[ReisetidOslo]]))</f>
        <v>219.4375</v>
      </c>
      <c r="N154" s="32">
        <f>IF(Tabell2[[#This Row],[Beftettotal]]&lt;=E$427,E$427,IF(Tabell2[[#This Row],[Beftettotal]]&gt;=E$428,E$428,Tabell2[[#This Row],[Beftettotal]]))</f>
        <v>1.2454428893921135</v>
      </c>
      <c r="O154" s="32">
        <f>IF(Tabell2[[#This Row],[Befvekst10]]&lt;=F$427,F$427,IF(Tabell2[[#This Row],[Befvekst10]]&gt;=F$428,F$428,Tabell2[[#This Row],[Befvekst10]]))</f>
        <v>5.5432372505543226E-2</v>
      </c>
      <c r="P154" s="32">
        <f>IF(Tabell2[[#This Row],[Kvinneandel]]&lt;=G$427,G$427,IF(Tabell2[[#This Row],[Kvinneandel]]&gt;=G$428,G$428,Tabell2[[#This Row],[Kvinneandel]]))</f>
        <v>0.12777681011054584</v>
      </c>
      <c r="Q154" s="32">
        <f>IF(Tabell2[[#This Row],[Eldreandel]]&lt;=H$427,H$427,IF(Tabell2[[#This Row],[Eldreandel]]&gt;=H$428,H$428,Tabell2[[#This Row],[Eldreandel]]))</f>
        <v>0.13032022035982854</v>
      </c>
      <c r="R154" s="32">
        <f>IF(Tabell2[[#This Row],[Sysselsettingsvekst10]]&lt;=I$427,I$427,IF(Tabell2[[#This Row],[Sysselsettingsvekst10]]&gt;=I$428,I$428,Tabell2[[#This Row],[Sysselsettingsvekst10]]))</f>
        <v>0.17904192152607218</v>
      </c>
      <c r="S154" s="32">
        <f>IF(Tabell2[[#This Row],[Yrkesaktivandel]]&lt;=J$427,J$427,IF(Tabell2[[#This Row],[Yrkesaktivandel]]&gt;=J$428,J$428,Tabell2[[#This Row],[Yrkesaktivandel]]))</f>
        <v>0.92597026588718434</v>
      </c>
      <c r="T154" s="67">
        <f>IF(Tabell2[[#This Row],[Inntekt]]&lt;=K$427,K$427,IF(Tabell2[[#This Row],[Inntekt]]&gt;=K$428,K$428,Tabell2[[#This Row],[Inntekt]]))</f>
        <v>439500</v>
      </c>
      <c r="U154" s="10">
        <f>IF(Tabell2[[#This Row],[NIBR11-T]]&lt;=L$430,100,IF(Tabell2[[#This Row],[NIBR11-T]]&gt;=L$429,0,100*(L$429-Tabell2[[#This Row],[NIBR11-T]])/L$432))</f>
        <v>0</v>
      </c>
      <c r="V154" s="10">
        <f>(M$429-Tabell2[[#This Row],[ReisetidOslo-T]])*100/M$432</f>
        <v>28.992356083325774</v>
      </c>
      <c r="W154" s="10">
        <f>100-(N$429-Tabell2[[#This Row],[Beftettotal-T]])*100/N$432</f>
        <v>0</v>
      </c>
      <c r="X154" s="10">
        <f>100-(O$429-Tabell2[[#This Row],[Befvekst10-T]])*100/O$432</f>
        <v>47.367541609133639</v>
      </c>
      <c r="Y154" s="10">
        <f>100-(P$429-Tabell2[[#This Row],[Kvinneandel-T]])*100/P$432</f>
        <v>100</v>
      </c>
      <c r="Z154" s="10">
        <f>(Q$429-Tabell2[[#This Row],[Eldreandel-T]])*100/Q$432</f>
        <v>100</v>
      </c>
      <c r="AA154" s="10">
        <f>100-(R$429-Tabell2[[#This Row],[Sysselsettingsvekst10-T]])*100/R$432</f>
        <v>100</v>
      </c>
      <c r="AB154" s="10">
        <f>100-(S$429-Tabell2[[#This Row],[Yrkesaktivandel-T]])*100/S$432</f>
        <v>100</v>
      </c>
      <c r="AC154" s="10">
        <f>100-(T$429-Tabell2[[#This Row],[Inntekt-T]])*100/T$432</f>
        <v>89.270243252249244</v>
      </c>
      <c r="AD15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51.29976825538423</v>
      </c>
    </row>
    <row r="155" spans="1:30" x14ac:dyDescent="0.25">
      <c r="A155" s="2" t="s">
        <v>149</v>
      </c>
      <c r="B155" s="2">
        <v>153</v>
      </c>
      <c r="C155">
        <f>'Rådata-K'!N154</f>
        <v>2</v>
      </c>
      <c r="D155" s="30">
        <f>'Rådata-K'!M154</f>
        <v>159.78125</v>
      </c>
      <c r="E155" s="32">
        <f>'Rådata-K'!O154</f>
        <v>322.406818838486</v>
      </c>
      <c r="F155" s="32">
        <f>'Rådata-K'!P154</f>
        <v>0.14681397738951696</v>
      </c>
      <c r="G155" s="32">
        <f>'Rådata-K'!Q154</f>
        <v>0.13803378590312318</v>
      </c>
      <c r="H155" s="32">
        <f>'Rådata-K'!R154</f>
        <v>0.13201819240937401</v>
      </c>
      <c r="I155" s="32">
        <f>'Rådata-K'!S154</f>
        <v>8.4312339899302202E-2</v>
      </c>
      <c r="J155" s="32">
        <f>'Rådata-K'!T154</f>
        <v>0.78467761568568695</v>
      </c>
      <c r="K155" s="67">
        <f>'Rådata-K'!L154</f>
        <v>427200</v>
      </c>
      <c r="L155" s="18">
        <f>Tabell2[[#This Row],[NIBR11]]</f>
        <v>2</v>
      </c>
      <c r="M155" s="32">
        <f>IF(Tabell2[[#This Row],[ReisetidOslo]]&lt;=D$427,D$427,IF(Tabell2[[#This Row],[ReisetidOslo]]&gt;=D$428,D$428,Tabell2[[#This Row],[ReisetidOslo]]))</f>
        <v>159.78125</v>
      </c>
      <c r="N155" s="32">
        <f>IF(Tabell2[[#This Row],[Beftettotal]]&lt;=E$427,E$427,IF(Tabell2[[#This Row],[Beftettotal]]&gt;=E$428,E$428,Tabell2[[#This Row],[Beftettotal]]))</f>
        <v>135.41854576488009</v>
      </c>
      <c r="O155" s="32">
        <f>IF(Tabell2[[#This Row],[Befvekst10]]&lt;=F$427,F$427,IF(Tabell2[[#This Row],[Befvekst10]]&gt;=F$428,F$428,Tabell2[[#This Row],[Befvekst10]]))</f>
        <v>0.14681397738951696</v>
      </c>
      <c r="P155" s="32">
        <f>IF(Tabell2[[#This Row],[Kvinneandel]]&lt;=G$427,G$427,IF(Tabell2[[#This Row],[Kvinneandel]]&gt;=G$428,G$428,Tabell2[[#This Row],[Kvinneandel]]))</f>
        <v>0.12777681011054584</v>
      </c>
      <c r="Q155" s="32">
        <f>IF(Tabell2[[#This Row],[Eldreandel]]&lt;=H$427,H$427,IF(Tabell2[[#This Row],[Eldreandel]]&gt;=H$428,H$428,Tabell2[[#This Row],[Eldreandel]]))</f>
        <v>0.13201819240937401</v>
      </c>
      <c r="R155" s="32">
        <f>IF(Tabell2[[#This Row],[Sysselsettingsvekst10]]&lt;=I$427,I$427,IF(Tabell2[[#This Row],[Sysselsettingsvekst10]]&gt;=I$428,I$428,Tabell2[[#This Row],[Sysselsettingsvekst10]]))</f>
        <v>8.4312339899302202E-2</v>
      </c>
      <c r="S155" s="32">
        <f>IF(Tabell2[[#This Row],[Yrkesaktivandel]]&lt;=J$427,J$427,IF(Tabell2[[#This Row],[Yrkesaktivandel]]&gt;=J$428,J$428,Tabell2[[#This Row],[Yrkesaktivandel]]))</f>
        <v>0.7970451171433347</v>
      </c>
      <c r="T155" s="67">
        <f>IF(Tabell2[[#This Row],[Inntekt]]&lt;=K$427,K$427,IF(Tabell2[[#This Row],[Inntekt]]&gt;=K$428,K$428,Tabell2[[#This Row],[Inntekt]]))</f>
        <v>427200</v>
      </c>
      <c r="U155" s="10">
        <f>IF(Tabell2[[#This Row],[NIBR11-T]]&lt;=L$430,100,IF(Tabell2[[#This Row],[NIBR11-T]]&gt;=L$429,0,100*(L$429-Tabell2[[#This Row],[NIBR11-T]])/L$432))</f>
        <v>90</v>
      </c>
      <c r="V155" s="10">
        <f>(M$429-Tabell2[[#This Row],[ReisetidOslo-T]])*100/M$432</f>
        <v>54.694226503623376</v>
      </c>
      <c r="W155" s="10">
        <f>100-(N$429-Tabell2[[#This Row],[Beftettotal-T]])*100/N$432</f>
        <v>100</v>
      </c>
      <c r="X155" s="10">
        <f>100-(O$429-Tabell2[[#This Row],[Befvekst10-T]])*100/O$432</f>
        <v>86.732434643861268</v>
      </c>
      <c r="Y155" s="10">
        <f>100-(P$429-Tabell2[[#This Row],[Kvinneandel-T]])*100/P$432</f>
        <v>100</v>
      </c>
      <c r="Z155" s="10">
        <f>(Q$429-Tabell2[[#This Row],[Eldreandel-T]])*100/Q$432</f>
        <v>98.168546513568913</v>
      </c>
      <c r="AA155" s="10">
        <f>100-(R$429-Tabell2[[#This Row],[Sysselsettingsvekst10-T]])*100/R$432</f>
        <v>66.859411362883861</v>
      </c>
      <c r="AB155" s="10">
        <f>100-(S$429-Tabell2[[#This Row],[Yrkesaktivandel-T]])*100/S$432</f>
        <v>0</v>
      </c>
      <c r="AC155" s="10">
        <f>100-(T$429-Tabell2[[#This Row],[Inntekt-T]])*100/T$432</f>
        <v>75.608130623125618</v>
      </c>
      <c r="AD15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74.971091103413997</v>
      </c>
    </row>
    <row r="156" spans="1:30" x14ac:dyDescent="0.25">
      <c r="A156" s="2" t="s">
        <v>150</v>
      </c>
      <c r="B156" s="2">
        <v>154</v>
      </c>
      <c r="C156">
        <f>'Rådata-K'!N155</f>
        <v>5</v>
      </c>
      <c r="D156" s="30">
        <f>'Rådata-K'!M155</f>
        <v>195.53125</v>
      </c>
      <c r="E156" s="32">
        <f>'Rådata-K'!O155</f>
        <v>70.008526679531471</v>
      </c>
      <c r="F156" s="32">
        <f>'Rådata-K'!P155</f>
        <v>9.8591549295774739E-2</v>
      </c>
      <c r="G156" s="32">
        <f>'Rådata-K'!Q155</f>
        <v>0.11583333333333333</v>
      </c>
      <c r="H156" s="32">
        <f>'Rådata-K'!R155</f>
        <v>0.15538461538461537</v>
      </c>
      <c r="I156" s="32">
        <f>'Rådata-K'!S155</f>
        <v>4.4072429108302114E-2</v>
      </c>
      <c r="J156" s="32">
        <f>'Rådata-K'!T155</f>
        <v>0.80597014925373134</v>
      </c>
      <c r="K156" s="67">
        <f>'Rådata-K'!L155</f>
        <v>406100</v>
      </c>
      <c r="L156" s="18">
        <f>Tabell2[[#This Row],[NIBR11]]</f>
        <v>5</v>
      </c>
      <c r="M156" s="32">
        <f>IF(Tabell2[[#This Row],[ReisetidOslo]]&lt;=D$427,D$427,IF(Tabell2[[#This Row],[ReisetidOslo]]&gt;=D$428,D$428,Tabell2[[#This Row],[ReisetidOslo]]))</f>
        <v>195.53125</v>
      </c>
      <c r="N156" s="32">
        <f>IF(Tabell2[[#This Row],[Beftettotal]]&lt;=E$427,E$427,IF(Tabell2[[#This Row],[Beftettotal]]&gt;=E$428,E$428,Tabell2[[#This Row],[Beftettotal]]))</f>
        <v>70.008526679531471</v>
      </c>
      <c r="O156" s="32">
        <f>IF(Tabell2[[#This Row],[Befvekst10]]&lt;=F$427,F$427,IF(Tabell2[[#This Row],[Befvekst10]]&gt;=F$428,F$428,Tabell2[[#This Row],[Befvekst10]]))</f>
        <v>9.8591549295774739E-2</v>
      </c>
      <c r="P156" s="32">
        <f>IF(Tabell2[[#This Row],[Kvinneandel]]&lt;=G$427,G$427,IF(Tabell2[[#This Row],[Kvinneandel]]&gt;=G$428,G$428,Tabell2[[#This Row],[Kvinneandel]]))</f>
        <v>0.11583333333333333</v>
      </c>
      <c r="Q156" s="32">
        <f>IF(Tabell2[[#This Row],[Eldreandel]]&lt;=H$427,H$427,IF(Tabell2[[#This Row],[Eldreandel]]&gt;=H$428,H$428,Tabell2[[#This Row],[Eldreandel]]))</f>
        <v>0.15538461538461537</v>
      </c>
      <c r="R156" s="32">
        <f>IF(Tabell2[[#This Row],[Sysselsettingsvekst10]]&lt;=I$427,I$427,IF(Tabell2[[#This Row],[Sysselsettingsvekst10]]&gt;=I$428,I$428,Tabell2[[#This Row],[Sysselsettingsvekst10]]))</f>
        <v>4.4072429108302114E-2</v>
      </c>
      <c r="S156" s="32">
        <f>IF(Tabell2[[#This Row],[Yrkesaktivandel]]&lt;=J$427,J$427,IF(Tabell2[[#This Row],[Yrkesaktivandel]]&gt;=J$428,J$428,Tabell2[[#This Row],[Yrkesaktivandel]]))</f>
        <v>0.80597014925373134</v>
      </c>
      <c r="T156" s="67">
        <f>IF(Tabell2[[#This Row],[Inntekt]]&lt;=K$427,K$427,IF(Tabell2[[#This Row],[Inntekt]]&gt;=K$428,K$428,Tabell2[[#This Row],[Inntekt]]))</f>
        <v>406100</v>
      </c>
      <c r="U156" s="10">
        <f>IF(Tabell2[[#This Row],[NIBR11-T]]&lt;=L$430,100,IF(Tabell2[[#This Row],[NIBR11-T]]&gt;=L$429,0,100*(L$429-Tabell2[[#This Row],[NIBR11-T]])/L$432))</f>
        <v>60</v>
      </c>
      <c r="V156" s="10">
        <f>(M$429-Tabell2[[#This Row],[ReisetidOslo-T]])*100/M$432</f>
        <v>39.291953187321404</v>
      </c>
      <c r="W156" s="10">
        <f>100-(N$429-Tabell2[[#This Row],[Beftettotal-T]])*100/N$432</f>
        <v>51.249529388875494</v>
      </c>
      <c r="X156" s="10">
        <f>100-(O$429-Tabell2[[#This Row],[Befvekst10-T]])*100/O$432</f>
        <v>65.959427579745665</v>
      </c>
      <c r="Y156" s="10">
        <f>100-(P$429-Tabell2[[#This Row],[Kvinneandel-T]])*100/P$432</f>
        <v>68.453656655028965</v>
      </c>
      <c r="Z156" s="10">
        <f>(Q$429-Tabell2[[#This Row],[Eldreandel-T]])*100/Q$432</f>
        <v>72.9652359909458</v>
      </c>
      <c r="AA156" s="10">
        <f>100-(R$429-Tabell2[[#This Row],[Sysselsettingsvekst10-T]])*100/R$432</f>
        <v>52.781714539804838</v>
      </c>
      <c r="AB156" s="10">
        <f>100-(S$429-Tabell2[[#This Row],[Yrkesaktivandel-T]])*100/S$432</f>
        <v>6.9226463551568287</v>
      </c>
      <c r="AC156" s="10">
        <f>100-(T$429-Tabell2[[#This Row],[Inntekt-T]])*100/T$432</f>
        <v>52.17149838942575</v>
      </c>
      <c r="AD15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52.504564334306309</v>
      </c>
    </row>
    <row r="157" spans="1:30" x14ac:dyDescent="0.25">
      <c r="A157" s="2" t="s">
        <v>151</v>
      </c>
      <c r="B157" s="2">
        <v>155</v>
      </c>
      <c r="C157">
        <f>'Rådata-K'!N156</f>
        <v>6</v>
      </c>
      <c r="D157" s="30">
        <f>'Rådata-K'!M156</f>
        <v>233.46875</v>
      </c>
      <c r="E157" s="32">
        <f>'Rådata-K'!O156</f>
        <v>37.208150828413636</v>
      </c>
      <c r="F157" s="32">
        <f>'Rådata-K'!P156</f>
        <v>4.0805454932878682E-2</v>
      </c>
      <c r="G157" s="32">
        <f>'Rådata-K'!Q156</f>
        <v>0.11024669874091514</v>
      </c>
      <c r="H157" s="32">
        <f>'Rådata-K'!R156</f>
        <v>0.17289384788617054</v>
      </c>
      <c r="I157" s="32">
        <f>'Rådata-K'!S156</f>
        <v>8.6803677663601864E-2</v>
      </c>
      <c r="J157" s="32">
        <f>'Rådata-K'!T156</f>
        <v>0.86595625350532812</v>
      </c>
      <c r="K157" s="67">
        <f>'Rådata-K'!L156</f>
        <v>408600</v>
      </c>
      <c r="L157" s="18">
        <f>Tabell2[[#This Row],[NIBR11]]</f>
        <v>6</v>
      </c>
      <c r="M157" s="32">
        <f>IF(Tabell2[[#This Row],[ReisetidOslo]]&lt;=D$427,D$427,IF(Tabell2[[#This Row],[ReisetidOslo]]&gt;=D$428,D$428,Tabell2[[#This Row],[ReisetidOslo]]))</f>
        <v>233.46875</v>
      </c>
      <c r="N157" s="32">
        <f>IF(Tabell2[[#This Row],[Beftettotal]]&lt;=E$427,E$427,IF(Tabell2[[#This Row],[Beftettotal]]&gt;=E$428,E$428,Tabell2[[#This Row],[Beftettotal]]))</f>
        <v>37.208150828413636</v>
      </c>
      <c r="O157" s="32">
        <f>IF(Tabell2[[#This Row],[Befvekst10]]&lt;=F$427,F$427,IF(Tabell2[[#This Row],[Befvekst10]]&gt;=F$428,F$428,Tabell2[[#This Row],[Befvekst10]]))</f>
        <v>4.0805454932878682E-2</v>
      </c>
      <c r="P157" s="32">
        <f>IF(Tabell2[[#This Row],[Kvinneandel]]&lt;=G$427,G$427,IF(Tabell2[[#This Row],[Kvinneandel]]&gt;=G$428,G$428,Tabell2[[#This Row],[Kvinneandel]]))</f>
        <v>0.11024669874091514</v>
      </c>
      <c r="Q157" s="32">
        <f>IF(Tabell2[[#This Row],[Eldreandel]]&lt;=H$427,H$427,IF(Tabell2[[#This Row],[Eldreandel]]&gt;=H$428,H$428,Tabell2[[#This Row],[Eldreandel]]))</f>
        <v>0.17289384788617054</v>
      </c>
      <c r="R157" s="32">
        <f>IF(Tabell2[[#This Row],[Sysselsettingsvekst10]]&lt;=I$427,I$427,IF(Tabell2[[#This Row],[Sysselsettingsvekst10]]&gt;=I$428,I$428,Tabell2[[#This Row],[Sysselsettingsvekst10]]))</f>
        <v>8.6803677663601864E-2</v>
      </c>
      <c r="S157" s="32">
        <f>IF(Tabell2[[#This Row],[Yrkesaktivandel]]&lt;=J$427,J$427,IF(Tabell2[[#This Row],[Yrkesaktivandel]]&gt;=J$428,J$428,Tabell2[[#This Row],[Yrkesaktivandel]]))</f>
        <v>0.86595625350532812</v>
      </c>
      <c r="T157" s="67">
        <f>IF(Tabell2[[#This Row],[Inntekt]]&lt;=K$427,K$427,IF(Tabell2[[#This Row],[Inntekt]]&gt;=K$428,K$428,Tabell2[[#This Row],[Inntekt]]))</f>
        <v>408600</v>
      </c>
      <c r="U157" s="10">
        <f>IF(Tabell2[[#This Row],[NIBR11-T]]&lt;=L$430,100,IF(Tabell2[[#This Row],[NIBR11-T]]&gt;=L$429,0,100*(L$429-Tabell2[[#This Row],[NIBR11-T]])/L$432))</f>
        <v>50</v>
      </c>
      <c r="V157" s="10">
        <f>(M$429-Tabell2[[#This Row],[ReisetidOslo-T]])*100/M$432</f>
        <v>22.947233077189775</v>
      </c>
      <c r="W157" s="10">
        <f>100-(N$429-Tabell2[[#This Row],[Beftettotal-T]])*100/N$432</f>
        <v>26.803217014661101</v>
      </c>
      <c r="X157" s="10">
        <f>100-(O$429-Tabell2[[#This Row],[Befvekst10-T]])*100/O$432</f>
        <v>41.066634042377849</v>
      </c>
      <c r="Y157" s="10">
        <f>100-(P$429-Tabell2[[#This Row],[Kvinneandel-T]])*100/P$432</f>
        <v>53.697660868980428</v>
      </c>
      <c r="Z157" s="10">
        <f>(Q$429-Tabell2[[#This Row],[Eldreandel-T]])*100/Q$432</f>
        <v>54.079562979844198</v>
      </c>
      <c r="AA157" s="10">
        <f>100-(R$429-Tabell2[[#This Row],[Sysselsettingsvekst10-T]])*100/R$432</f>
        <v>67.730991270499914</v>
      </c>
      <c r="AB157" s="10">
        <f>100-(S$429-Tabell2[[#This Row],[Yrkesaktivandel-T]])*100/S$432</f>
        <v>53.450499792640976</v>
      </c>
      <c r="AC157" s="10">
        <f>100-(T$429-Tabell2[[#This Row],[Inntekt-T]])*100/T$432</f>
        <v>54.94835054981673</v>
      </c>
      <c r="AD15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46.190217171397649</v>
      </c>
    </row>
    <row r="158" spans="1:30" x14ac:dyDescent="0.25">
      <c r="A158" s="2" t="s">
        <v>152</v>
      </c>
      <c r="B158" s="2">
        <v>156</v>
      </c>
      <c r="C158">
        <f>'Rådata-K'!N157</f>
        <v>6</v>
      </c>
      <c r="D158" s="30">
        <f>'Rådata-K'!M157</f>
        <v>245.6875</v>
      </c>
      <c r="E158" s="32">
        <f>'Rådata-K'!O157</f>
        <v>16.724007874450354</v>
      </c>
      <c r="F158" s="32">
        <f>'Rådata-K'!P157</f>
        <v>2.5959367945823875E-2</v>
      </c>
      <c r="G158" s="32">
        <f>'Rådata-K'!Q157</f>
        <v>0.10462046204620462</v>
      </c>
      <c r="H158" s="32">
        <f>'Rådata-K'!R157</f>
        <v>0.17997799779977997</v>
      </c>
      <c r="I158" s="32">
        <f>'Rådata-K'!S157</f>
        <v>1.9345238095238138E-2</v>
      </c>
      <c r="J158" s="32">
        <f>'Rådata-K'!T157</f>
        <v>0.85677393722685735</v>
      </c>
      <c r="K158" s="67">
        <f>'Rådata-K'!L157</f>
        <v>416100</v>
      </c>
      <c r="L158" s="18">
        <f>Tabell2[[#This Row],[NIBR11]]</f>
        <v>6</v>
      </c>
      <c r="M158" s="32">
        <f>IF(Tabell2[[#This Row],[ReisetidOslo]]&lt;=D$427,D$427,IF(Tabell2[[#This Row],[ReisetidOslo]]&gt;=D$428,D$428,Tabell2[[#This Row],[ReisetidOslo]]))</f>
        <v>245.6875</v>
      </c>
      <c r="N158" s="32">
        <f>IF(Tabell2[[#This Row],[Beftettotal]]&lt;=E$427,E$427,IF(Tabell2[[#This Row],[Beftettotal]]&gt;=E$428,E$428,Tabell2[[#This Row],[Beftettotal]]))</f>
        <v>16.724007874450354</v>
      </c>
      <c r="O158" s="32">
        <f>IF(Tabell2[[#This Row],[Befvekst10]]&lt;=F$427,F$427,IF(Tabell2[[#This Row],[Befvekst10]]&gt;=F$428,F$428,Tabell2[[#This Row],[Befvekst10]]))</f>
        <v>2.5959367945823875E-2</v>
      </c>
      <c r="P158" s="32">
        <f>IF(Tabell2[[#This Row],[Kvinneandel]]&lt;=G$427,G$427,IF(Tabell2[[#This Row],[Kvinneandel]]&gt;=G$428,G$428,Tabell2[[#This Row],[Kvinneandel]]))</f>
        <v>0.10462046204620462</v>
      </c>
      <c r="Q158" s="32">
        <f>IF(Tabell2[[#This Row],[Eldreandel]]&lt;=H$427,H$427,IF(Tabell2[[#This Row],[Eldreandel]]&gt;=H$428,H$428,Tabell2[[#This Row],[Eldreandel]]))</f>
        <v>0.17997799779977997</v>
      </c>
      <c r="R158" s="32">
        <f>IF(Tabell2[[#This Row],[Sysselsettingsvekst10]]&lt;=I$427,I$427,IF(Tabell2[[#This Row],[Sysselsettingsvekst10]]&gt;=I$428,I$428,Tabell2[[#This Row],[Sysselsettingsvekst10]]))</f>
        <v>1.9345238095238138E-2</v>
      </c>
      <c r="S158" s="32">
        <f>IF(Tabell2[[#This Row],[Yrkesaktivandel]]&lt;=J$427,J$427,IF(Tabell2[[#This Row],[Yrkesaktivandel]]&gt;=J$428,J$428,Tabell2[[#This Row],[Yrkesaktivandel]]))</f>
        <v>0.85677393722685735</v>
      </c>
      <c r="T158" s="67">
        <f>IF(Tabell2[[#This Row],[Inntekt]]&lt;=K$427,K$427,IF(Tabell2[[#This Row],[Inntekt]]&gt;=K$428,K$428,Tabell2[[#This Row],[Inntekt]]))</f>
        <v>416100</v>
      </c>
      <c r="U158" s="10">
        <f>IF(Tabell2[[#This Row],[NIBR11-T]]&lt;=L$430,100,IF(Tabell2[[#This Row],[NIBR11-T]]&gt;=L$429,0,100*(L$429-Tabell2[[#This Row],[NIBR11-T]])/L$432))</f>
        <v>50</v>
      </c>
      <c r="V158" s="10">
        <f>(M$429-Tabell2[[#This Row],[ReisetidOslo-T]])*100/M$432</f>
        <v>17.682994557369781</v>
      </c>
      <c r="W158" s="10">
        <f>100-(N$429-Tabell2[[#This Row],[Beftettotal-T]])*100/N$432</f>
        <v>11.536265207656612</v>
      </c>
      <c r="X158" s="10">
        <f>100-(O$429-Tabell2[[#This Row],[Befvekst10-T]])*100/O$432</f>
        <v>34.671313813851555</v>
      </c>
      <c r="Y158" s="10">
        <f>100-(P$429-Tabell2[[#This Row],[Kvinneandel-T]])*100/P$432</f>
        <v>38.837063923704939</v>
      </c>
      <c r="Z158" s="10">
        <f>(Q$429-Tabell2[[#This Row],[Eldreandel-T]])*100/Q$432</f>
        <v>46.438511961864506</v>
      </c>
      <c r="AA158" s="10">
        <f>100-(R$429-Tabell2[[#This Row],[Sysselsettingsvekst10-T]])*100/R$432</f>
        <v>44.131051764326365</v>
      </c>
      <c r="AB158" s="10">
        <f>100-(S$429-Tabell2[[#This Row],[Yrkesaktivandel-T]])*100/S$432</f>
        <v>46.328292552287635</v>
      </c>
      <c r="AC158" s="10">
        <f>100-(T$429-Tabell2[[#This Row],[Inntekt-T]])*100/T$432</f>
        <v>63.278907030989672</v>
      </c>
      <c r="AD15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39.493792668311791</v>
      </c>
    </row>
    <row r="159" spans="1:30" x14ac:dyDescent="0.25">
      <c r="A159" s="2" t="s">
        <v>153</v>
      </c>
      <c r="B159" s="2">
        <v>157</v>
      </c>
      <c r="C159">
        <f>'Rådata-K'!N158</f>
        <v>2</v>
      </c>
      <c r="D159" s="30">
        <f>'Rådata-K'!M158</f>
        <v>159.4375</v>
      </c>
      <c r="E159" s="32">
        <f>'Rådata-K'!O158</f>
        <v>37.519182250890836</v>
      </c>
      <c r="F159" s="32">
        <f>'Rådata-K'!P158</f>
        <v>0.14894464356829951</v>
      </c>
      <c r="G159" s="32">
        <f>'Rådata-K'!Q158</f>
        <v>0.13351819757365685</v>
      </c>
      <c r="H159" s="32">
        <f>'Rådata-K'!R158</f>
        <v>0.12991334488734835</v>
      </c>
      <c r="I159" s="32">
        <f>'Rådata-K'!S158</f>
        <v>9.2059553349876033E-2</v>
      </c>
      <c r="J159" s="32">
        <f>'Rådata-K'!T158</f>
        <v>0.80066170388751035</v>
      </c>
      <c r="K159" s="67">
        <f>'Rådata-K'!L158</f>
        <v>378900</v>
      </c>
      <c r="L159" s="18">
        <f>Tabell2[[#This Row],[NIBR11]]</f>
        <v>2</v>
      </c>
      <c r="M159" s="32">
        <f>IF(Tabell2[[#This Row],[ReisetidOslo]]&lt;=D$427,D$427,IF(Tabell2[[#This Row],[ReisetidOslo]]&gt;=D$428,D$428,Tabell2[[#This Row],[ReisetidOslo]]))</f>
        <v>159.4375</v>
      </c>
      <c r="N159" s="32">
        <f>IF(Tabell2[[#This Row],[Beftettotal]]&lt;=E$427,E$427,IF(Tabell2[[#This Row],[Beftettotal]]&gt;=E$428,E$428,Tabell2[[#This Row],[Beftettotal]]))</f>
        <v>37.519182250890836</v>
      </c>
      <c r="O159" s="32">
        <f>IF(Tabell2[[#This Row],[Befvekst10]]&lt;=F$427,F$427,IF(Tabell2[[#This Row],[Befvekst10]]&gt;=F$428,F$428,Tabell2[[#This Row],[Befvekst10]]))</f>
        <v>0.14894464356829951</v>
      </c>
      <c r="P159" s="32">
        <f>IF(Tabell2[[#This Row],[Kvinneandel]]&lt;=G$427,G$427,IF(Tabell2[[#This Row],[Kvinneandel]]&gt;=G$428,G$428,Tabell2[[#This Row],[Kvinneandel]]))</f>
        <v>0.12777681011054584</v>
      </c>
      <c r="Q159" s="32">
        <f>IF(Tabell2[[#This Row],[Eldreandel]]&lt;=H$427,H$427,IF(Tabell2[[#This Row],[Eldreandel]]&gt;=H$428,H$428,Tabell2[[#This Row],[Eldreandel]]))</f>
        <v>0.13032022035982854</v>
      </c>
      <c r="R159" s="32">
        <f>IF(Tabell2[[#This Row],[Sysselsettingsvekst10]]&lt;=I$427,I$427,IF(Tabell2[[#This Row],[Sysselsettingsvekst10]]&gt;=I$428,I$428,Tabell2[[#This Row],[Sysselsettingsvekst10]]))</f>
        <v>9.2059553349876033E-2</v>
      </c>
      <c r="S159" s="32">
        <f>IF(Tabell2[[#This Row],[Yrkesaktivandel]]&lt;=J$427,J$427,IF(Tabell2[[#This Row],[Yrkesaktivandel]]&gt;=J$428,J$428,Tabell2[[#This Row],[Yrkesaktivandel]]))</f>
        <v>0.80066170388751035</v>
      </c>
      <c r="T159" s="67">
        <f>IF(Tabell2[[#This Row],[Inntekt]]&lt;=K$427,K$427,IF(Tabell2[[#This Row],[Inntekt]]&gt;=K$428,K$428,Tabell2[[#This Row],[Inntekt]]))</f>
        <v>378900</v>
      </c>
      <c r="U159" s="10">
        <f>IF(Tabell2[[#This Row],[NIBR11-T]]&lt;=L$430,100,IF(Tabell2[[#This Row],[NIBR11-T]]&gt;=L$429,0,100*(L$429-Tabell2[[#This Row],[NIBR11-T]])/L$432))</f>
        <v>90</v>
      </c>
      <c r="V159" s="10">
        <f>(M$429-Tabell2[[#This Row],[ReisetidOslo-T]])*100/M$432</f>
        <v>54.842325285510896</v>
      </c>
      <c r="W159" s="10">
        <f>100-(N$429-Tabell2[[#This Row],[Beftettotal-T]])*100/N$432</f>
        <v>27.035030556877402</v>
      </c>
      <c r="X159" s="10">
        <f>100-(O$429-Tabell2[[#This Row],[Befvekst10-T]])*100/O$432</f>
        <v>87.650271951785328</v>
      </c>
      <c r="Y159" s="10">
        <f>100-(P$429-Tabell2[[#This Row],[Kvinneandel-T]])*100/P$432</f>
        <v>100</v>
      </c>
      <c r="Z159" s="10">
        <f>(Q$429-Tabell2[[#This Row],[Eldreandel-T]])*100/Q$432</f>
        <v>100</v>
      </c>
      <c r="AA159" s="10">
        <f>100-(R$429-Tabell2[[#This Row],[Sysselsettingsvekst10-T]])*100/R$432</f>
        <v>69.569728558846705</v>
      </c>
      <c r="AB159" s="10">
        <f>100-(S$429-Tabell2[[#This Row],[Yrkesaktivandel-T]])*100/S$432</f>
        <v>2.805183301638948</v>
      </c>
      <c r="AC159" s="10">
        <f>100-(T$429-Tabell2[[#This Row],[Inntekt-T]])*100/T$432</f>
        <v>21.959346884371882</v>
      </c>
      <c r="AD15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63.151215849081652</v>
      </c>
    </row>
    <row r="160" spans="1:30" x14ac:dyDescent="0.25">
      <c r="A160" s="2" t="s">
        <v>154</v>
      </c>
      <c r="B160" s="2">
        <v>158</v>
      </c>
      <c r="C160">
        <f>'Rådata-K'!N159</f>
        <v>2</v>
      </c>
      <c r="D160" s="30">
        <f>'Rådata-K'!M159</f>
        <v>170.6875</v>
      </c>
      <c r="E160" s="32">
        <f>'Rådata-K'!O159</f>
        <v>30.415856256367508</v>
      </c>
      <c r="F160" s="32">
        <f>'Rådata-K'!P159</f>
        <v>0.15960451977401124</v>
      </c>
      <c r="G160" s="32">
        <f>'Rådata-K'!Q159</f>
        <v>0.13002436053593178</v>
      </c>
      <c r="H160" s="32">
        <f>'Rådata-K'!R159</f>
        <v>0.12271619975639464</v>
      </c>
      <c r="I160" s="32">
        <f>'Rådata-K'!S159</f>
        <v>0.41898864809081537</v>
      </c>
      <c r="J160" s="32">
        <f>'Rådata-K'!T159</f>
        <v>0.78304108872023026</v>
      </c>
      <c r="K160" s="67">
        <f>'Rådata-K'!L159</f>
        <v>380900</v>
      </c>
      <c r="L160" s="18">
        <f>Tabell2[[#This Row],[NIBR11]]</f>
        <v>2</v>
      </c>
      <c r="M160" s="32">
        <f>IF(Tabell2[[#This Row],[ReisetidOslo]]&lt;=D$427,D$427,IF(Tabell2[[#This Row],[ReisetidOslo]]&gt;=D$428,D$428,Tabell2[[#This Row],[ReisetidOslo]]))</f>
        <v>170.6875</v>
      </c>
      <c r="N160" s="32">
        <f>IF(Tabell2[[#This Row],[Beftettotal]]&lt;=E$427,E$427,IF(Tabell2[[#This Row],[Beftettotal]]&gt;=E$428,E$428,Tabell2[[#This Row],[Beftettotal]]))</f>
        <v>30.415856256367508</v>
      </c>
      <c r="O160" s="32">
        <f>IF(Tabell2[[#This Row],[Befvekst10]]&lt;=F$427,F$427,IF(Tabell2[[#This Row],[Befvekst10]]&gt;=F$428,F$428,Tabell2[[#This Row],[Befvekst10]]))</f>
        <v>0.15960451977401124</v>
      </c>
      <c r="P160" s="32">
        <f>IF(Tabell2[[#This Row],[Kvinneandel]]&lt;=G$427,G$427,IF(Tabell2[[#This Row],[Kvinneandel]]&gt;=G$428,G$428,Tabell2[[#This Row],[Kvinneandel]]))</f>
        <v>0.12777681011054584</v>
      </c>
      <c r="Q160" s="32">
        <f>IF(Tabell2[[#This Row],[Eldreandel]]&lt;=H$427,H$427,IF(Tabell2[[#This Row],[Eldreandel]]&gt;=H$428,H$428,Tabell2[[#This Row],[Eldreandel]]))</f>
        <v>0.13032022035982854</v>
      </c>
      <c r="R160" s="32">
        <f>IF(Tabell2[[#This Row],[Sysselsettingsvekst10]]&lt;=I$427,I$427,IF(Tabell2[[#This Row],[Sysselsettingsvekst10]]&gt;=I$428,I$428,Tabell2[[#This Row],[Sysselsettingsvekst10]]))</f>
        <v>0.17904192152607218</v>
      </c>
      <c r="S160" s="32">
        <f>IF(Tabell2[[#This Row],[Yrkesaktivandel]]&lt;=J$427,J$427,IF(Tabell2[[#This Row],[Yrkesaktivandel]]&gt;=J$428,J$428,Tabell2[[#This Row],[Yrkesaktivandel]]))</f>
        <v>0.7970451171433347</v>
      </c>
      <c r="T160" s="67">
        <f>IF(Tabell2[[#This Row],[Inntekt]]&lt;=K$427,K$427,IF(Tabell2[[#This Row],[Inntekt]]&gt;=K$428,K$428,Tabell2[[#This Row],[Inntekt]]))</f>
        <v>380900</v>
      </c>
      <c r="U160" s="10">
        <f>IF(Tabell2[[#This Row],[NIBR11-T]]&lt;=L$430,100,IF(Tabell2[[#This Row],[NIBR11-T]]&gt;=L$429,0,100*(L$429-Tabell2[[#This Row],[NIBR11-T]])/L$432))</f>
        <v>90</v>
      </c>
      <c r="V160" s="10">
        <f>(M$429-Tabell2[[#This Row],[ReisetidOslo-T]])*100/M$432</f>
        <v>49.995456060101183</v>
      </c>
      <c r="W160" s="10">
        <f>100-(N$429-Tabell2[[#This Row],[Beftettotal-T]])*100/N$432</f>
        <v>21.740880058535581</v>
      </c>
      <c r="X160" s="10">
        <f>100-(O$429-Tabell2[[#This Row],[Befvekst10-T]])*100/O$432</f>
        <v>92.24227804682026</v>
      </c>
      <c r="Y160" s="10">
        <f>100-(P$429-Tabell2[[#This Row],[Kvinneandel-T]])*100/P$432</f>
        <v>100</v>
      </c>
      <c r="Z160" s="10">
        <f>(Q$429-Tabell2[[#This Row],[Eldreandel-T]])*100/Q$432</f>
        <v>100</v>
      </c>
      <c r="AA160" s="10">
        <f>100-(R$429-Tabell2[[#This Row],[Sysselsettingsvekst10-T]])*100/R$432</f>
        <v>100</v>
      </c>
      <c r="AB160" s="10">
        <f>100-(S$429-Tabell2[[#This Row],[Yrkesaktivandel-T]])*100/S$432</f>
        <v>0</v>
      </c>
      <c r="AC160" s="10">
        <f>100-(T$429-Tabell2[[#This Row],[Inntekt-T]])*100/T$432</f>
        <v>24.180828612684664</v>
      </c>
      <c r="AD16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66.040172082496198</v>
      </c>
    </row>
    <row r="161" spans="1:30" x14ac:dyDescent="0.25">
      <c r="A161" s="2" t="s">
        <v>155</v>
      </c>
      <c r="B161" s="2">
        <v>159</v>
      </c>
      <c r="C161">
        <f>'Rådata-K'!N160</f>
        <v>2</v>
      </c>
      <c r="D161" s="30">
        <f>'Rådata-K'!M160</f>
        <v>172.21875</v>
      </c>
      <c r="E161" s="32">
        <f>'Rådata-K'!O160</f>
        <v>74.810017841802676</v>
      </c>
      <c r="F161" s="32">
        <f>'Rådata-K'!P160</f>
        <v>0.16196243456840809</v>
      </c>
      <c r="G161" s="32">
        <f>'Rådata-K'!Q160</f>
        <v>0.12004239908135324</v>
      </c>
      <c r="H161" s="32">
        <f>'Rådata-K'!R160</f>
        <v>0.13338044342372582</v>
      </c>
      <c r="I161" s="32">
        <f>'Rådata-K'!S160</f>
        <v>1.9452887537994012E-2</v>
      </c>
      <c r="J161" s="32">
        <f>'Rådata-K'!T160</f>
        <v>0.82557961001074776</v>
      </c>
      <c r="K161" s="67">
        <f>'Rådata-K'!L160</f>
        <v>424900</v>
      </c>
      <c r="L161" s="18">
        <f>Tabell2[[#This Row],[NIBR11]]</f>
        <v>2</v>
      </c>
      <c r="M161" s="32">
        <f>IF(Tabell2[[#This Row],[ReisetidOslo]]&lt;=D$427,D$427,IF(Tabell2[[#This Row],[ReisetidOslo]]&gt;=D$428,D$428,Tabell2[[#This Row],[ReisetidOslo]]))</f>
        <v>172.21875</v>
      </c>
      <c r="N161" s="32">
        <f>IF(Tabell2[[#This Row],[Beftettotal]]&lt;=E$427,E$427,IF(Tabell2[[#This Row],[Beftettotal]]&gt;=E$428,E$428,Tabell2[[#This Row],[Beftettotal]]))</f>
        <v>74.810017841802676</v>
      </c>
      <c r="O161" s="32">
        <f>IF(Tabell2[[#This Row],[Befvekst10]]&lt;=F$427,F$427,IF(Tabell2[[#This Row],[Befvekst10]]&gt;=F$428,F$428,Tabell2[[#This Row],[Befvekst10]]))</f>
        <v>0.16196243456840809</v>
      </c>
      <c r="P161" s="32">
        <f>IF(Tabell2[[#This Row],[Kvinneandel]]&lt;=G$427,G$427,IF(Tabell2[[#This Row],[Kvinneandel]]&gt;=G$428,G$428,Tabell2[[#This Row],[Kvinneandel]]))</f>
        <v>0.12004239908135324</v>
      </c>
      <c r="Q161" s="32">
        <f>IF(Tabell2[[#This Row],[Eldreandel]]&lt;=H$427,H$427,IF(Tabell2[[#This Row],[Eldreandel]]&gt;=H$428,H$428,Tabell2[[#This Row],[Eldreandel]]))</f>
        <v>0.13338044342372582</v>
      </c>
      <c r="R161" s="32">
        <f>IF(Tabell2[[#This Row],[Sysselsettingsvekst10]]&lt;=I$427,I$427,IF(Tabell2[[#This Row],[Sysselsettingsvekst10]]&gt;=I$428,I$428,Tabell2[[#This Row],[Sysselsettingsvekst10]]))</f>
        <v>1.9452887537994012E-2</v>
      </c>
      <c r="S161" s="32">
        <f>IF(Tabell2[[#This Row],[Yrkesaktivandel]]&lt;=J$427,J$427,IF(Tabell2[[#This Row],[Yrkesaktivandel]]&gt;=J$428,J$428,Tabell2[[#This Row],[Yrkesaktivandel]]))</f>
        <v>0.82557961001074776</v>
      </c>
      <c r="T161" s="67">
        <f>IF(Tabell2[[#This Row],[Inntekt]]&lt;=K$427,K$427,IF(Tabell2[[#This Row],[Inntekt]]&gt;=K$428,K$428,Tabell2[[#This Row],[Inntekt]]))</f>
        <v>424900</v>
      </c>
      <c r="U161" s="10">
        <f>IF(Tabell2[[#This Row],[NIBR11-T]]&lt;=L$430,100,IF(Tabell2[[#This Row],[NIBR11-T]]&gt;=L$429,0,100*(L$429-Tabell2[[#This Row],[NIBR11-T]])/L$432))</f>
        <v>90</v>
      </c>
      <c r="V161" s="10">
        <f>(M$429-Tabell2[[#This Row],[ReisetidOslo-T]])*100/M$432</f>
        <v>49.335743304420419</v>
      </c>
      <c r="W161" s="10">
        <f>100-(N$429-Tabell2[[#This Row],[Beftettotal-T]])*100/N$432</f>
        <v>54.828108895028052</v>
      </c>
      <c r="X161" s="10">
        <f>100-(O$429-Tabell2[[#This Row],[Befvekst10-T]])*100/O$432</f>
        <v>93.258008332847567</v>
      </c>
      <c r="Y161" s="10">
        <f>100-(P$429-Tabell2[[#This Row],[Kvinneandel-T]])*100/P$432</f>
        <v>79.571075454044973</v>
      </c>
      <c r="Z161" s="10">
        <f>(Q$429-Tabell2[[#This Row],[Eldreandel-T]])*100/Q$432</f>
        <v>96.699205854930412</v>
      </c>
      <c r="AA161" s="10">
        <f>100-(R$429-Tabell2[[#This Row],[Sysselsettingsvekst10-T]])*100/R$432</f>
        <v>44.168712290617329</v>
      </c>
      <c r="AB161" s="10">
        <f>100-(S$429-Tabell2[[#This Row],[Yrkesaktivandel-T]])*100/S$432</f>
        <v>22.132604185786747</v>
      </c>
      <c r="AC161" s="10">
        <f>100-(T$429-Tabell2[[#This Row],[Inntekt-T]])*100/T$432</f>
        <v>73.053426635565927</v>
      </c>
      <c r="AD16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69.816975263160131</v>
      </c>
    </row>
    <row r="162" spans="1:30" x14ac:dyDescent="0.25">
      <c r="A162" s="2" t="s">
        <v>156</v>
      </c>
      <c r="B162" s="2">
        <v>160</v>
      </c>
      <c r="C162">
        <f>'Rådata-K'!N161</f>
        <v>5</v>
      </c>
      <c r="D162" s="30">
        <f>'Rådata-K'!M161</f>
        <v>195.09375</v>
      </c>
      <c r="E162" s="32">
        <f>'Rådata-K'!O161</f>
        <v>5.8454216348953194</v>
      </c>
      <c r="F162" s="32">
        <f>'Rådata-K'!P161</f>
        <v>7.5454122030740534E-2</v>
      </c>
      <c r="G162" s="32">
        <f>'Rådata-K'!Q161</f>
        <v>0.1169337375487224</v>
      </c>
      <c r="H162" s="32">
        <f>'Rådata-K'!R161</f>
        <v>0.14205283672585534</v>
      </c>
      <c r="I162" s="32">
        <f>'Rådata-K'!S161</f>
        <v>-0.10682110682110679</v>
      </c>
      <c r="J162" s="32">
        <f>'Rådata-K'!T161</f>
        <v>0.81735849056603771</v>
      </c>
      <c r="K162" s="67">
        <f>'Rådata-K'!L161</f>
        <v>382700</v>
      </c>
      <c r="L162" s="18">
        <f>Tabell2[[#This Row],[NIBR11]]</f>
        <v>5</v>
      </c>
      <c r="M162" s="32">
        <f>IF(Tabell2[[#This Row],[ReisetidOslo]]&lt;=D$427,D$427,IF(Tabell2[[#This Row],[ReisetidOslo]]&gt;=D$428,D$428,Tabell2[[#This Row],[ReisetidOslo]]))</f>
        <v>195.09375</v>
      </c>
      <c r="N162" s="32">
        <f>IF(Tabell2[[#This Row],[Beftettotal]]&lt;=E$427,E$427,IF(Tabell2[[#This Row],[Beftettotal]]&gt;=E$428,E$428,Tabell2[[#This Row],[Beftettotal]]))</f>
        <v>5.8454216348953194</v>
      </c>
      <c r="O162" s="32">
        <f>IF(Tabell2[[#This Row],[Befvekst10]]&lt;=F$427,F$427,IF(Tabell2[[#This Row],[Befvekst10]]&gt;=F$428,F$428,Tabell2[[#This Row],[Befvekst10]]))</f>
        <v>7.5454122030740534E-2</v>
      </c>
      <c r="P162" s="32">
        <f>IF(Tabell2[[#This Row],[Kvinneandel]]&lt;=G$427,G$427,IF(Tabell2[[#This Row],[Kvinneandel]]&gt;=G$428,G$428,Tabell2[[#This Row],[Kvinneandel]]))</f>
        <v>0.1169337375487224</v>
      </c>
      <c r="Q162" s="32">
        <f>IF(Tabell2[[#This Row],[Eldreandel]]&lt;=H$427,H$427,IF(Tabell2[[#This Row],[Eldreandel]]&gt;=H$428,H$428,Tabell2[[#This Row],[Eldreandel]]))</f>
        <v>0.14205283672585534</v>
      </c>
      <c r="R162" s="32">
        <f>IF(Tabell2[[#This Row],[Sysselsettingsvekst10]]&lt;=I$427,I$427,IF(Tabell2[[#This Row],[Sysselsettingsvekst10]]&gt;=I$428,I$428,Tabell2[[#This Row],[Sysselsettingsvekst10]]))</f>
        <v>-0.10679965679965678</v>
      </c>
      <c r="S162" s="32">
        <f>IF(Tabell2[[#This Row],[Yrkesaktivandel]]&lt;=J$427,J$427,IF(Tabell2[[#This Row],[Yrkesaktivandel]]&gt;=J$428,J$428,Tabell2[[#This Row],[Yrkesaktivandel]]))</f>
        <v>0.81735849056603771</v>
      </c>
      <c r="T162" s="67">
        <f>IF(Tabell2[[#This Row],[Inntekt]]&lt;=K$427,K$427,IF(Tabell2[[#This Row],[Inntekt]]&gt;=K$428,K$428,Tabell2[[#This Row],[Inntekt]]))</f>
        <v>382700</v>
      </c>
      <c r="U162" s="10">
        <f>IF(Tabell2[[#This Row],[NIBR11-T]]&lt;=L$430,100,IF(Tabell2[[#This Row],[NIBR11-T]]&gt;=L$429,0,100*(L$429-Tabell2[[#This Row],[NIBR11-T]])/L$432))</f>
        <v>60</v>
      </c>
      <c r="V162" s="10">
        <f>(M$429-Tabell2[[#This Row],[ReisetidOslo-T]])*100/M$432</f>
        <v>39.480442546087339</v>
      </c>
      <c r="W162" s="10">
        <f>100-(N$429-Tabell2[[#This Row],[Beftettotal-T]])*100/N$432</f>
        <v>3.4283911208135294</v>
      </c>
      <c r="X162" s="10">
        <f>100-(O$429-Tabell2[[#This Row],[Befvekst10-T]])*100/O$432</f>
        <v>55.99240685885443</v>
      </c>
      <c r="Y162" s="10">
        <f>100-(P$429-Tabell2[[#This Row],[Kvinneandel-T]])*100/P$432</f>
        <v>71.360157822523917</v>
      </c>
      <c r="Z162" s="10">
        <f>(Q$429-Tabell2[[#This Row],[Eldreandel-T]])*100/Q$432</f>
        <v>87.345056030651222</v>
      </c>
      <c r="AA162" s="10">
        <f>100-(R$429-Tabell2[[#This Row],[Sysselsettingsvekst10-T]])*100/R$432</f>
        <v>0</v>
      </c>
      <c r="AB162" s="10">
        <f>100-(S$429-Tabell2[[#This Row],[Yrkesaktivandel-T]])*100/S$432</f>
        <v>15.755943367621711</v>
      </c>
      <c r="AC162" s="10">
        <f>100-(T$429-Tabell2[[#This Row],[Inntekt-T]])*100/T$432</f>
        <v>26.180162168166163</v>
      </c>
      <c r="AD16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39.618235984698515</v>
      </c>
    </row>
    <row r="163" spans="1:30" x14ac:dyDescent="0.25">
      <c r="A163" s="2" t="s">
        <v>157</v>
      </c>
      <c r="B163" s="2">
        <v>161</v>
      </c>
      <c r="C163">
        <f>'Rådata-K'!N162</f>
        <v>5</v>
      </c>
      <c r="D163" s="30">
        <f>'Rådata-K'!M162</f>
        <v>218.875</v>
      </c>
      <c r="E163" s="32">
        <f>'Rådata-K'!O162</f>
        <v>1.0557508563187308</v>
      </c>
      <c r="F163" s="32">
        <f>'Rådata-K'!P162</f>
        <v>4.9272116461366089E-2</v>
      </c>
      <c r="G163" s="32">
        <f>'Rådata-K'!Q162</f>
        <v>0.10779082177161152</v>
      </c>
      <c r="H163" s="32">
        <f>'Rådata-K'!R162</f>
        <v>0.13874066168623267</v>
      </c>
      <c r="I163" s="32">
        <f>'Rådata-K'!S162</f>
        <v>0.16872427983539096</v>
      </c>
      <c r="J163" s="32">
        <f>'Rådata-K'!T162</f>
        <v>0.90926275992438566</v>
      </c>
      <c r="K163" s="67">
        <f>'Rådata-K'!L162</f>
        <v>377700</v>
      </c>
      <c r="L163" s="18">
        <f>Tabell2[[#This Row],[NIBR11]]</f>
        <v>5</v>
      </c>
      <c r="M163" s="32">
        <f>IF(Tabell2[[#This Row],[ReisetidOslo]]&lt;=D$427,D$427,IF(Tabell2[[#This Row],[ReisetidOslo]]&gt;=D$428,D$428,Tabell2[[#This Row],[ReisetidOslo]]))</f>
        <v>218.875</v>
      </c>
      <c r="N163" s="32">
        <f>IF(Tabell2[[#This Row],[Beftettotal]]&lt;=E$427,E$427,IF(Tabell2[[#This Row],[Beftettotal]]&gt;=E$428,E$428,Tabell2[[#This Row],[Beftettotal]]))</f>
        <v>1.2454428893921135</v>
      </c>
      <c r="O163" s="32">
        <f>IF(Tabell2[[#This Row],[Befvekst10]]&lt;=F$427,F$427,IF(Tabell2[[#This Row],[Befvekst10]]&gt;=F$428,F$428,Tabell2[[#This Row],[Befvekst10]]))</f>
        <v>4.9272116461366089E-2</v>
      </c>
      <c r="P163" s="32">
        <f>IF(Tabell2[[#This Row],[Kvinneandel]]&lt;=G$427,G$427,IF(Tabell2[[#This Row],[Kvinneandel]]&gt;=G$428,G$428,Tabell2[[#This Row],[Kvinneandel]]))</f>
        <v>0.10779082177161152</v>
      </c>
      <c r="Q163" s="32">
        <f>IF(Tabell2[[#This Row],[Eldreandel]]&lt;=H$427,H$427,IF(Tabell2[[#This Row],[Eldreandel]]&gt;=H$428,H$428,Tabell2[[#This Row],[Eldreandel]]))</f>
        <v>0.13874066168623267</v>
      </c>
      <c r="R163" s="32">
        <f>IF(Tabell2[[#This Row],[Sysselsettingsvekst10]]&lt;=I$427,I$427,IF(Tabell2[[#This Row],[Sysselsettingsvekst10]]&gt;=I$428,I$428,Tabell2[[#This Row],[Sysselsettingsvekst10]]))</f>
        <v>0.16872427983539096</v>
      </c>
      <c r="S163" s="32">
        <f>IF(Tabell2[[#This Row],[Yrkesaktivandel]]&lt;=J$427,J$427,IF(Tabell2[[#This Row],[Yrkesaktivandel]]&gt;=J$428,J$428,Tabell2[[#This Row],[Yrkesaktivandel]]))</f>
        <v>0.90926275992438566</v>
      </c>
      <c r="T163" s="67">
        <f>IF(Tabell2[[#This Row],[Inntekt]]&lt;=K$427,K$427,IF(Tabell2[[#This Row],[Inntekt]]&gt;=K$428,K$428,Tabell2[[#This Row],[Inntekt]]))</f>
        <v>377700</v>
      </c>
      <c r="U163" s="10">
        <f>IF(Tabell2[[#This Row],[NIBR11-T]]&lt;=L$430,100,IF(Tabell2[[#This Row],[NIBR11-T]]&gt;=L$429,0,100*(L$429-Tabell2[[#This Row],[NIBR11-T]])/L$432))</f>
        <v>60</v>
      </c>
      <c r="V163" s="10">
        <f>(M$429-Tabell2[[#This Row],[ReisetidOslo-T]])*100/M$432</f>
        <v>29.234699544596261</v>
      </c>
      <c r="W163" s="10">
        <f>100-(N$429-Tabell2[[#This Row],[Beftettotal-T]])*100/N$432</f>
        <v>0</v>
      </c>
      <c r="X163" s="10">
        <f>100-(O$429-Tabell2[[#This Row],[Befvekst10-T]])*100/O$432</f>
        <v>44.713858512262398</v>
      </c>
      <c r="Y163" s="10">
        <f>100-(P$429-Tabell2[[#This Row],[Kvinneandel-T]])*100/P$432</f>
        <v>47.210945188796337</v>
      </c>
      <c r="Z163" s="10">
        <f>(Q$429-Tabell2[[#This Row],[Eldreandel-T]])*100/Q$432</f>
        <v>90.917608668140645</v>
      </c>
      <c r="AA163" s="10">
        <f>100-(R$429-Tabell2[[#This Row],[Sysselsettingsvekst10-T]])*100/R$432</f>
        <v>96.390433557246936</v>
      </c>
      <c r="AB163" s="10">
        <f>100-(S$429-Tabell2[[#This Row],[Yrkesaktivandel-T]])*100/S$432</f>
        <v>87.040925586990483</v>
      </c>
      <c r="AC163" s="10">
        <f>100-(T$429-Tabell2[[#This Row],[Inntekt-T]])*100/T$432</f>
        <v>20.626457847384202</v>
      </c>
      <c r="AD16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51.178451048921119</v>
      </c>
    </row>
    <row r="164" spans="1:30" x14ac:dyDescent="0.25">
      <c r="A164" s="2" t="s">
        <v>158</v>
      </c>
      <c r="B164" s="2">
        <v>162</v>
      </c>
      <c r="C164">
        <f>'Rådata-K'!N163</f>
        <v>5</v>
      </c>
      <c r="D164" s="30">
        <f>'Rådata-K'!M163</f>
        <v>201.90625</v>
      </c>
      <c r="E164" s="32">
        <f>'Rådata-K'!O163</f>
        <v>7.0192881288526552</v>
      </c>
      <c r="F164" s="32">
        <f>'Rådata-K'!P163</f>
        <v>0.10658307210031337</v>
      </c>
      <c r="G164" s="32">
        <f>'Rådata-K'!Q163</f>
        <v>0.11614730878186968</v>
      </c>
      <c r="H164" s="32">
        <f>'Rådata-K'!R163</f>
        <v>0.14787535410764874</v>
      </c>
      <c r="I164" s="32">
        <f>'Rådata-K'!S163</f>
        <v>-4.4510385756676429E-3</v>
      </c>
      <c r="J164" s="32">
        <f>'Rådata-K'!T163</f>
        <v>0.89783281733746134</v>
      </c>
      <c r="K164" s="67">
        <f>'Rådata-K'!L163</f>
        <v>391300</v>
      </c>
      <c r="L164" s="18">
        <f>Tabell2[[#This Row],[NIBR11]]</f>
        <v>5</v>
      </c>
      <c r="M164" s="32">
        <f>IF(Tabell2[[#This Row],[ReisetidOslo]]&lt;=D$427,D$427,IF(Tabell2[[#This Row],[ReisetidOslo]]&gt;=D$428,D$428,Tabell2[[#This Row],[ReisetidOslo]]))</f>
        <v>201.90625</v>
      </c>
      <c r="N164" s="32">
        <f>IF(Tabell2[[#This Row],[Beftettotal]]&lt;=E$427,E$427,IF(Tabell2[[#This Row],[Beftettotal]]&gt;=E$428,E$428,Tabell2[[#This Row],[Beftettotal]]))</f>
        <v>7.0192881288526552</v>
      </c>
      <c r="O164" s="32">
        <f>IF(Tabell2[[#This Row],[Befvekst10]]&lt;=F$427,F$427,IF(Tabell2[[#This Row],[Befvekst10]]&gt;=F$428,F$428,Tabell2[[#This Row],[Befvekst10]]))</f>
        <v>0.10658307210031337</v>
      </c>
      <c r="P164" s="32">
        <f>IF(Tabell2[[#This Row],[Kvinneandel]]&lt;=G$427,G$427,IF(Tabell2[[#This Row],[Kvinneandel]]&gt;=G$428,G$428,Tabell2[[#This Row],[Kvinneandel]]))</f>
        <v>0.11614730878186968</v>
      </c>
      <c r="Q164" s="32">
        <f>IF(Tabell2[[#This Row],[Eldreandel]]&lt;=H$427,H$427,IF(Tabell2[[#This Row],[Eldreandel]]&gt;=H$428,H$428,Tabell2[[#This Row],[Eldreandel]]))</f>
        <v>0.14787535410764874</v>
      </c>
      <c r="R164" s="32">
        <f>IF(Tabell2[[#This Row],[Sysselsettingsvekst10]]&lt;=I$427,I$427,IF(Tabell2[[#This Row],[Sysselsettingsvekst10]]&gt;=I$428,I$428,Tabell2[[#This Row],[Sysselsettingsvekst10]]))</f>
        <v>-4.4510385756676429E-3</v>
      </c>
      <c r="S164" s="32">
        <f>IF(Tabell2[[#This Row],[Yrkesaktivandel]]&lt;=J$427,J$427,IF(Tabell2[[#This Row],[Yrkesaktivandel]]&gt;=J$428,J$428,Tabell2[[#This Row],[Yrkesaktivandel]]))</f>
        <v>0.89783281733746134</v>
      </c>
      <c r="T164" s="67">
        <f>IF(Tabell2[[#This Row],[Inntekt]]&lt;=K$427,K$427,IF(Tabell2[[#This Row],[Inntekt]]&gt;=K$428,K$428,Tabell2[[#This Row],[Inntekt]]))</f>
        <v>391300</v>
      </c>
      <c r="U164" s="10">
        <f>IF(Tabell2[[#This Row],[NIBR11-T]]&lt;=L$430,100,IF(Tabell2[[#This Row],[NIBR11-T]]&gt;=L$429,0,100*(L$429-Tabell2[[#This Row],[NIBR11-T]])/L$432))</f>
        <v>60</v>
      </c>
      <c r="V164" s="10">
        <f>(M$429-Tabell2[[#This Row],[ReisetidOslo-T]])*100/M$432</f>
        <v>36.545393959589241</v>
      </c>
      <c r="W164" s="10">
        <f>100-(N$429-Tabell2[[#This Row],[Beftettotal-T]])*100/N$432</f>
        <v>4.303280699126887</v>
      </c>
      <c r="X164" s="10">
        <f>100-(O$429-Tabell2[[#This Row],[Befvekst10-T]])*100/O$432</f>
        <v>69.401974258419955</v>
      </c>
      <c r="Y164" s="10">
        <f>100-(P$429-Tabell2[[#This Row],[Kvinneandel-T]])*100/P$432</f>
        <v>69.282961009713773</v>
      </c>
      <c r="Z164" s="10">
        <f>(Q$429-Tabell2[[#This Row],[Eldreandel-T]])*100/Q$432</f>
        <v>81.064817341477465</v>
      </c>
      <c r="AA164" s="10">
        <f>100-(R$429-Tabell2[[#This Row],[Sysselsettingsvekst10-T]])*100/R$432</f>
        <v>35.806063912562934</v>
      </c>
      <c r="AB164" s="10">
        <f>100-(S$429-Tabell2[[#This Row],[Yrkesaktivandel-T]])*100/S$432</f>
        <v>78.175360801307363</v>
      </c>
      <c r="AC164" s="10">
        <f>100-(T$429-Tabell2[[#This Row],[Inntekt-T]])*100/T$432</f>
        <v>35.732533599911136</v>
      </c>
      <c r="AD16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52.454047066493317</v>
      </c>
    </row>
    <row r="165" spans="1:30" x14ac:dyDescent="0.25">
      <c r="A165" s="2" t="s">
        <v>159</v>
      </c>
      <c r="B165" s="2">
        <v>163</v>
      </c>
      <c r="C165">
        <f>'Rådata-K'!N164</f>
        <v>5</v>
      </c>
      <c r="D165" s="30">
        <f>'Rådata-K'!M164</f>
        <v>202.3125</v>
      </c>
      <c r="E165" s="32">
        <f>'Rådata-K'!O164</f>
        <v>15.641293013555785</v>
      </c>
      <c r="F165" s="32">
        <f>'Rådata-K'!P164</f>
        <v>9.5132743362831951E-2</v>
      </c>
      <c r="G165" s="32">
        <f>'Rådata-K'!Q164</f>
        <v>0.11818181818181818</v>
      </c>
      <c r="H165" s="32">
        <f>'Rådata-K'!R164</f>
        <v>0.16303030303030303</v>
      </c>
      <c r="I165" s="32">
        <f>'Rådata-K'!S164</f>
        <v>-1.0465724751439032E-2</v>
      </c>
      <c r="J165" s="32">
        <f>'Rådata-K'!T164</f>
        <v>0.83089311859443626</v>
      </c>
      <c r="K165" s="67">
        <f>'Rådata-K'!L164</f>
        <v>396300</v>
      </c>
      <c r="L165" s="18">
        <f>Tabell2[[#This Row],[NIBR11]]</f>
        <v>5</v>
      </c>
      <c r="M165" s="32">
        <f>IF(Tabell2[[#This Row],[ReisetidOslo]]&lt;=D$427,D$427,IF(Tabell2[[#This Row],[ReisetidOslo]]&gt;=D$428,D$428,Tabell2[[#This Row],[ReisetidOslo]]))</f>
        <v>202.3125</v>
      </c>
      <c r="N165" s="32">
        <f>IF(Tabell2[[#This Row],[Beftettotal]]&lt;=E$427,E$427,IF(Tabell2[[#This Row],[Beftettotal]]&gt;=E$428,E$428,Tabell2[[#This Row],[Beftettotal]]))</f>
        <v>15.641293013555785</v>
      </c>
      <c r="O165" s="32">
        <f>IF(Tabell2[[#This Row],[Befvekst10]]&lt;=F$427,F$427,IF(Tabell2[[#This Row],[Befvekst10]]&gt;=F$428,F$428,Tabell2[[#This Row],[Befvekst10]]))</f>
        <v>9.5132743362831951E-2</v>
      </c>
      <c r="P165" s="32">
        <f>IF(Tabell2[[#This Row],[Kvinneandel]]&lt;=G$427,G$427,IF(Tabell2[[#This Row],[Kvinneandel]]&gt;=G$428,G$428,Tabell2[[#This Row],[Kvinneandel]]))</f>
        <v>0.11818181818181818</v>
      </c>
      <c r="Q165" s="32">
        <f>IF(Tabell2[[#This Row],[Eldreandel]]&lt;=H$427,H$427,IF(Tabell2[[#This Row],[Eldreandel]]&gt;=H$428,H$428,Tabell2[[#This Row],[Eldreandel]]))</f>
        <v>0.16303030303030303</v>
      </c>
      <c r="R165" s="32">
        <f>IF(Tabell2[[#This Row],[Sysselsettingsvekst10]]&lt;=I$427,I$427,IF(Tabell2[[#This Row],[Sysselsettingsvekst10]]&gt;=I$428,I$428,Tabell2[[#This Row],[Sysselsettingsvekst10]]))</f>
        <v>-1.0465724751439032E-2</v>
      </c>
      <c r="S165" s="32">
        <f>IF(Tabell2[[#This Row],[Yrkesaktivandel]]&lt;=J$427,J$427,IF(Tabell2[[#This Row],[Yrkesaktivandel]]&gt;=J$428,J$428,Tabell2[[#This Row],[Yrkesaktivandel]]))</f>
        <v>0.83089311859443626</v>
      </c>
      <c r="T165" s="67">
        <f>IF(Tabell2[[#This Row],[Inntekt]]&lt;=K$427,K$427,IF(Tabell2[[#This Row],[Inntekt]]&gt;=K$428,K$428,Tabell2[[#This Row],[Inntekt]]))</f>
        <v>396300</v>
      </c>
      <c r="U165" s="10">
        <f>IF(Tabell2[[#This Row],[NIBR11-T]]&lt;=L$430,100,IF(Tabell2[[#This Row],[NIBR11-T]]&gt;=L$429,0,100*(L$429-Tabell2[[#This Row],[NIBR11-T]])/L$432))</f>
        <v>60</v>
      </c>
      <c r="V165" s="10">
        <f>(M$429-Tabell2[[#This Row],[ReisetidOslo-T]])*100/M$432</f>
        <v>36.370368126449442</v>
      </c>
      <c r="W165" s="10">
        <f>100-(N$429-Tabell2[[#This Row],[Beftettotal-T]])*100/N$432</f>
        <v>10.729311475730697</v>
      </c>
      <c r="X165" s="10">
        <f>100-(O$429-Tabell2[[#This Row],[Befvekst10-T]])*100/O$432</f>
        <v>64.469461128061553</v>
      </c>
      <c r="Y165" s="10">
        <f>100-(P$429-Tabell2[[#This Row],[Kvinneandel-T]])*100/P$432</f>
        <v>74.656717183611192</v>
      </c>
      <c r="Z165" s="10">
        <f>(Q$429-Tabell2[[#This Row],[Eldreandel-T]])*100/Q$432</f>
        <v>64.718503485186261</v>
      </c>
      <c r="AA165" s="10">
        <f>100-(R$429-Tabell2[[#This Row],[Sysselsettingsvekst10-T]])*100/R$432</f>
        <v>33.701861224136209</v>
      </c>
      <c r="AB165" s="10">
        <f>100-(S$429-Tabell2[[#This Row],[Yrkesaktivandel-T]])*100/S$432</f>
        <v>26.253994492844271</v>
      </c>
      <c r="AC165" s="10">
        <f>100-(T$429-Tabell2[[#This Row],[Inntekt-T]])*100/T$432</f>
        <v>41.286237920693104</v>
      </c>
      <c r="AD16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46.69683058303756</v>
      </c>
    </row>
    <row r="166" spans="1:30" x14ac:dyDescent="0.25">
      <c r="A166" s="2" t="s">
        <v>160</v>
      </c>
      <c r="B166" s="2">
        <v>164</v>
      </c>
      <c r="C166">
        <f>'Rådata-K'!N165</f>
        <v>5</v>
      </c>
      <c r="D166" s="30">
        <f>'Rådata-K'!M165</f>
        <v>219.125</v>
      </c>
      <c r="E166" s="32">
        <f>'Rådata-K'!O165</f>
        <v>21.954648873891145</v>
      </c>
      <c r="F166" s="32">
        <f>'Rådata-K'!P165</f>
        <v>0.16558089033659074</v>
      </c>
      <c r="G166" s="32">
        <f>'Rådata-K'!Q165</f>
        <v>0.11888681881695388</v>
      </c>
      <c r="H166" s="32">
        <f>'Rådata-K'!R165</f>
        <v>0.13740102468560783</v>
      </c>
      <c r="I166" s="32">
        <f>'Rådata-K'!S165</f>
        <v>0.12289422811378081</v>
      </c>
      <c r="J166" s="32">
        <f>'Rådata-K'!T165</f>
        <v>0.84473237043330496</v>
      </c>
      <c r="K166" s="67">
        <f>'Rådata-K'!L165</f>
        <v>391500</v>
      </c>
      <c r="L166" s="18">
        <f>Tabell2[[#This Row],[NIBR11]]</f>
        <v>5</v>
      </c>
      <c r="M166" s="32">
        <f>IF(Tabell2[[#This Row],[ReisetidOslo]]&lt;=D$427,D$427,IF(Tabell2[[#This Row],[ReisetidOslo]]&gt;=D$428,D$428,Tabell2[[#This Row],[ReisetidOslo]]))</f>
        <v>219.125</v>
      </c>
      <c r="N166" s="32">
        <f>IF(Tabell2[[#This Row],[Beftettotal]]&lt;=E$427,E$427,IF(Tabell2[[#This Row],[Beftettotal]]&gt;=E$428,E$428,Tabell2[[#This Row],[Beftettotal]]))</f>
        <v>21.954648873891145</v>
      </c>
      <c r="O166" s="32">
        <f>IF(Tabell2[[#This Row],[Befvekst10]]&lt;=F$427,F$427,IF(Tabell2[[#This Row],[Befvekst10]]&gt;=F$428,F$428,Tabell2[[#This Row],[Befvekst10]]))</f>
        <v>0.16558089033659074</v>
      </c>
      <c r="P166" s="32">
        <f>IF(Tabell2[[#This Row],[Kvinneandel]]&lt;=G$427,G$427,IF(Tabell2[[#This Row],[Kvinneandel]]&gt;=G$428,G$428,Tabell2[[#This Row],[Kvinneandel]]))</f>
        <v>0.11888681881695388</v>
      </c>
      <c r="Q166" s="32">
        <f>IF(Tabell2[[#This Row],[Eldreandel]]&lt;=H$427,H$427,IF(Tabell2[[#This Row],[Eldreandel]]&gt;=H$428,H$428,Tabell2[[#This Row],[Eldreandel]]))</f>
        <v>0.13740102468560783</v>
      </c>
      <c r="R166" s="32">
        <f>IF(Tabell2[[#This Row],[Sysselsettingsvekst10]]&lt;=I$427,I$427,IF(Tabell2[[#This Row],[Sysselsettingsvekst10]]&gt;=I$428,I$428,Tabell2[[#This Row],[Sysselsettingsvekst10]]))</f>
        <v>0.12289422811378081</v>
      </c>
      <c r="S166" s="32">
        <f>IF(Tabell2[[#This Row],[Yrkesaktivandel]]&lt;=J$427,J$427,IF(Tabell2[[#This Row],[Yrkesaktivandel]]&gt;=J$428,J$428,Tabell2[[#This Row],[Yrkesaktivandel]]))</f>
        <v>0.84473237043330496</v>
      </c>
      <c r="T166" s="67">
        <f>IF(Tabell2[[#This Row],[Inntekt]]&lt;=K$427,K$427,IF(Tabell2[[#This Row],[Inntekt]]&gt;=K$428,K$428,Tabell2[[#This Row],[Inntekt]]))</f>
        <v>391500</v>
      </c>
      <c r="U166" s="10">
        <f>IF(Tabell2[[#This Row],[NIBR11-T]]&lt;=L$430,100,IF(Tabell2[[#This Row],[NIBR11-T]]&gt;=L$429,0,100*(L$429-Tabell2[[#This Row],[NIBR11-T]])/L$432))</f>
        <v>60</v>
      </c>
      <c r="V166" s="10">
        <f>(M$429-Tabell2[[#This Row],[ReisetidOslo-T]])*100/M$432</f>
        <v>29.126991339587157</v>
      </c>
      <c r="W166" s="10">
        <f>100-(N$429-Tabell2[[#This Row],[Beftettotal-T]])*100/N$432</f>
        <v>15.434692602821514</v>
      </c>
      <c r="X166" s="10">
        <f>100-(O$429-Tabell2[[#This Row],[Befvekst10-T]])*100/O$432</f>
        <v>94.816747911193318</v>
      </c>
      <c r="Y166" s="10">
        <f>100-(P$429-Tabell2[[#This Row],[Kvinneandel-T]])*100/P$432</f>
        <v>76.518837612132188</v>
      </c>
      <c r="Z166" s="10">
        <f>(Q$429-Tabell2[[#This Row],[Eldreandel-T]])*100/Q$432</f>
        <v>92.362557574103604</v>
      </c>
      <c r="AA166" s="10">
        <f>100-(R$429-Tabell2[[#This Row],[Sysselsettingsvekst10-T]])*100/R$432</f>
        <v>80.357058710224237</v>
      </c>
      <c r="AB166" s="10">
        <f>100-(S$429-Tabell2[[#This Row],[Yrkesaktivandel-T]])*100/S$432</f>
        <v>36.988325206214022</v>
      </c>
      <c r="AC166" s="10">
        <f>100-(T$429-Tabell2[[#This Row],[Inntekt-T]])*100/T$432</f>
        <v>35.954681772742418</v>
      </c>
      <c r="AD16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59.193594304709386</v>
      </c>
    </row>
    <row r="167" spans="1:30" x14ac:dyDescent="0.25">
      <c r="A167" s="2" t="s">
        <v>161</v>
      </c>
      <c r="B167" s="2">
        <v>165</v>
      </c>
      <c r="C167">
        <f>'Rådata-K'!N166</f>
        <v>5</v>
      </c>
      <c r="D167" s="30">
        <f>'Rådata-K'!M166</f>
        <v>213.84375</v>
      </c>
      <c r="E167" s="32">
        <f>'Rådata-K'!O166</f>
        <v>3.689333015411961</v>
      </c>
      <c r="F167" s="32">
        <f>'Rådata-K'!P166</f>
        <v>6.4415259537210723E-2</v>
      </c>
      <c r="G167" s="32">
        <f>'Rådata-K'!Q166</f>
        <v>0.11692126909518213</v>
      </c>
      <c r="H167" s="32">
        <f>'Rådata-K'!R166</f>
        <v>0.15804935370152762</v>
      </c>
      <c r="I167" s="32">
        <f>'Rådata-K'!S166</f>
        <v>0.1776416539050536</v>
      </c>
      <c r="J167" s="32">
        <f>'Rådata-K'!T166</f>
        <v>0.92811839323467227</v>
      </c>
      <c r="K167" s="67">
        <f>'Rådata-K'!L166</f>
        <v>405000</v>
      </c>
      <c r="L167" s="18">
        <f>Tabell2[[#This Row],[NIBR11]]</f>
        <v>5</v>
      </c>
      <c r="M167" s="32">
        <f>IF(Tabell2[[#This Row],[ReisetidOslo]]&lt;=D$427,D$427,IF(Tabell2[[#This Row],[ReisetidOslo]]&gt;=D$428,D$428,Tabell2[[#This Row],[ReisetidOslo]]))</f>
        <v>213.84375</v>
      </c>
      <c r="N167" s="32">
        <f>IF(Tabell2[[#This Row],[Beftettotal]]&lt;=E$427,E$427,IF(Tabell2[[#This Row],[Beftettotal]]&gt;=E$428,E$428,Tabell2[[#This Row],[Beftettotal]]))</f>
        <v>3.689333015411961</v>
      </c>
      <c r="O167" s="32">
        <f>IF(Tabell2[[#This Row],[Befvekst10]]&lt;=F$427,F$427,IF(Tabell2[[#This Row],[Befvekst10]]&gt;=F$428,F$428,Tabell2[[#This Row],[Befvekst10]]))</f>
        <v>6.4415259537210723E-2</v>
      </c>
      <c r="P167" s="32">
        <f>IF(Tabell2[[#This Row],[Kvinneandel]]&lt;=G$427,G$427,IF(Tabell2[[#This Row],[Kvinneandel]]&gt;=G$428,G$428,Tabell2[[#This Row],[Kvinneandel]]))</f>
        <v>0.11692126909518213</v>
      </c>
      <c r="Q167" s="32">
        <f>IF(Tabell2[[#This Row],[Eldreandel]]&lt;=H$427,H$427,IF(Tabell2[[#This Row],[Eldreandel]]&gt;=H$428,H$428,Tabell2[[#This Row],[Eldreandel]]))</f>
        <v>0.15804935370152762</v>
      </c>
      <c r="R167" s="32">
        <f>IF(Tabell2[[#This Row],[Sysselsettingsvekst10]]&lt;=I$427,I$427,IF(Tabell2[[#This Row],[Sysselsettingsvekst10]]&gt;=I$428,I$428,Tabell2[[#This Row],[Sysselsettingsvekst10]]))</f>
        <v>0.1776416539050536</v>
      </c>
      <c r="S167" s="32">
        <f>IF(Tabell2[[#This Row],[Yrkesaktivandel]]&lt;=J$427,J$427,IF(Tabell2[[#This Row],[Yrkesaktivandel]]&gt;=J$428,J$428,Tabell2[[#This Row],[Yrkesaktivandel]]))</f>
        <v>0.92597026588718434</v>
      </c>
      <c r="T167" s="67">
        <f>IF(Tabell2[[#This Row],[Inntekt]]&lt;=K$427,K$427,IF(Tabell2[[#This Row],[Inntekt]]&gt;=K$428,K$428,Tabell2[[#This Row],[Inntekt]]))</f>
        <v>405000</v>
      </c>
      <c r="U167" s="10">
        <f>IF(Tabell2[[#This Row],[NIBR11-T]]&lt;=L$430,100,IF(Tabell2[[#This Row],[NIBR11-T]]&gt;=L$429,0,100*(L$429-Tabell2[[#This Row],[NIBR11-T]])/L$432))</f>
        <v>60</v>
      </c>
      <c r="V167" s="10">
        <f>(M$429-Tabell2[[#This Row],[ReisetidOslo-T]])*100/M$432</f>
        <v>31.402327170404494</v>
      </c>
      <c r="W167" s="10">
        <f>100-(N$429-Tabell2[[#This Row],[Beftettotal-T]])*100/N$432</f>
        <v>1.8214456352610142</v>
      </c>
      <c r="X167" s="10">
        <f>100-(O$429-Tabell2[[#This Row],[Befvekst10-T]])*100/O$432</f>
        <v>51.237143019544504</v>
      </c>
      <c r="Y167" s="10">
        <f>100-(P$429-Tabell2[[#This Row],[Kvinneandel-T]])*100/P$432</f>
        <v>71.32722485637855</v>
      </c>
      <c r="Z167" s="10">
        <f>(Q$429-Tabell2[[#This Row],[Eldreandel-T]])*100/Q$432</f>
        <v>70.091016546496249</v>
      </c>
      <c r="AA167" s="10">
        <f>100-(R$429-Tabell2[[#This Row],[Sysselsettingsvekst10-T]])*100/R$432</f>
        <v>99.510124583966956</v>
      </c>
      <c r="AB167" s="10">
        <f>100-(S$429-Tabell2[[#This Row],[Yrkesaktivandel-T]])*100/S$432</f>
        <v>100</v>
      </c>
      <c r="AC167" s="10">
        <f>100-(T$429-Tabell2[[#This Row],[Inntekt-T]])*100/T$432</f>
        <v>50.949683438853718</v>
      </c>
      <c r="AD16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57.686698756901258</v>
      </c>
    </row>
    <row r="168" spans="1:30" x14ac:dyDescent="0.25">
      <c r="A168" s="2" t="s">
        <v>162</v>
      </c>
      <c r="B168" s="2">
        <v>166</v>
      </c>
      <c r="C168">
        <f>'Rådata-K'!N167</f>
        <v>6</v>
      </c>
      <c r="D168" s="30">
        <f>'Rådata-K'!M167</f>
        <v>231.09375</v>
      </c>
      <c r="E168" s="32">
        <f>'Rådata-K'!O167</f>
        <v>6.2166483254085252</v>
      </c>
      <c r="F168" s="32">
        <f>'Rådata-K'!P167</f>
        <v>7.0241286863270691E-2</v>
      </c>
      <c r="G168" s="32">
        <f>'Rådata-K'!Q167</f>
        <v>0.11489645958583834</v>
      </c>
      <c r="H168" s="32">
        <f>'Rådata-K'!R167</f>
        <v>0.15480961923847694</v>
      </c>
      <c r="I168" s="32">
        <f>'Rådata-K'!S167</f>
        <v>-5.1964512040557631E-2</v>
      </c>
      <c r="J168" s="32">
        <f>'Rådata-K'!T167</f>
        <v>0.83012820512820518</v>
      </c>
      <c r="K168" s="67">
        <f>'Rådata-K'!L167</f>
        <v>388000</v>
      </c>
      <c r="L168" s="18">
        <f>Tabell2[[#This Row],[NIBR11]]</f>
        <v>6</v>
      </c>
      <c r="M168" s="32">
        <f>IF(Tabell2[[#This Row],[ReisetidOslo]]&lt;=D$427,D$427,IF(Tabell2[[#This Row],[ReisetidOslo]]&gt;=D$428,D$428,Tabell2[[#This Row],[ReisetidOslo]]))</f>
        <v>231.09375</v>
      </c>
      <c r="N168" s="32">
        <f>IF(Tabell2[[#This Row],[Beftettotal]]&lt;=E$427,E$427,IF(Tabell2[[#This Row],[Beftettotal]]&gt;=E$428,E$428,Tabell2[[#This Row],[Beftettotal]]))</f>
        <v>6.2166483254085252</v>
      </c>
      <c r="O168" s="32">
        <f>IF(Tabell2[[#This Row],[Befvekst10]]&lt;=F$427,F$427,IF(Tabell2[[#This Row],[Befvekst10]]&gt;=F$428,F$428,Tabell2[[#This Row],[Befvekst10]]))</f>
        <v>7.0241286863270691E-2</v>
      </c>
      <c r="P168" s="32">
        <f>IF(Tabell2[[#This Row],[Kvinneandel]]&lt;=G$427,G$427,IF(Tabell2[[#This Row],[Kvinneandel]]&gt;=G$428,G$428,Tabell2[[#This Row],[Kvinneandel]]))</f>
        <v>0.11489645958583834</v>
      </c>
      <c r="Q168" s="32">
        <f>IF(Tabell2[[#This Row],[Eldreandel]]&lt;=H$427,H$427,IF(Tabell2[[#This Row],[Eldreandel]]&gt;=H$428,H$428,Tabell2[[#This Row],[Eldreandel]]))</f>
        <v>0.15480961923847694</v>
      </c>
      <c r="R168" s="32">
        <f>IF(Tabell2[[#This Row],[Sysselsettingsvekst10]]&lt;=I$427,I$427,IF(Tabell2[[#This Row],[Sysselsettingsvekst10]]&gt;=I$428,I$428,Tabell2[[#This Row],[Sysselsettingsvekst10]]))</f>
        <v>-5.1964512040557631E-2</v>
      </c>
      <c r="S168" s="32">
        <f>IF(Tabell2[[#This Row],[Yrkesaktivandel]]&lt;=J$427,J$427,IF(Tabell2[[#This Row],[Yrkesaktivandel]]&gt;=J$428,J$428,Tabell2[[#This Row],[Yrkesaktivandel]]))</f>
        <v>0.83012820512820518</v>
      </c>
      <c r="T168" s="67">
        <f>IF(Tabell2[[#This Row],[Inntekt]]&lt;=K$427,K$427,IF(Tabell2[[#This Row],[Inntekt]]&gt;=K$428,K$428,Tabell2[[#This Row],[Inntekt]]))</f>
        <v>388000</v>
      </c>
      <c r="U168" s="10">
        <f>IF(Tabell2[[#This Row],[NIBR11-T]]&lt;=L$430,100,IF(Tabell2[[#This Row],[NIBR11-T]]&gt;=L$429,0,100*(L$429-Tabell2[[#This Row],[NIBR11-T]])/L$432))</f>
        <v>50</v>
      </c>
      <c r="V168" s="10">
        <f>(M$429-Tabell2[[#This Row],[ReisetidOslo-T]])*100/M$432</f>
        <v>23.97046102477627</v>
      </c>
      <c r="W168" s="10">
        <f>100-(N$429-Tabell2[[#This Row],[Beftettotal-T]])*100/N$432</f>
        <v>3.7050685491187352</v>
      </c>
      <c r="X168" s="10">
        <f>100-(O$429-Tabell2[[#This Row],[Befvekst10-T]])*100/O$432</f>
        <v>53.746848805505941</v>
      </c>
      <c r="Y168" s="10">
        <f>100-(P$429-Tabell2[[#This Row],[Kvinneandel-T]])*100/P$432</f>
        <v>65.979089034505307</v>
      </c>
      <c r="Z168" s="10">
        <f>(Q$429-Tabell2[[#This Row],[Eldreandel-T]])*100/Q$432</f>
        <v>73.585433889263129</v>
      </c>
      <c r="AA168" s="10">
        <f>100-(R$429-Tabell2[[#This Row],[Sysselsettingsvekst10-T]])*100/R$432</f>
        <v>19.183753840252066</v>
      </c>
      <c r="AB168" s="10">
        <f>100-(S$429-Tabell2[[#This Row],[Yrkesaktivandel-T]])*100/S$432</f>
        <v>25.660694059465797</v>
      </c>
      <c r="AC168" s="10">
        <f>100-(T$429-Tabell2[[#This Row],[Inntekt-T]])*100/T$432</f>
        <v>32.067088748195047</v>
      </c>
      <c r="AD16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38.186302529470403</v>
      </c>
    </row>
    <row r="169" spans="1:30" x14ac:dyDescent="0.25">
      <c r="A169" s="2" t="s">
        <v>163</v>
      </c>
      <c r="B169" s="2">
        <v>167</v>
      </c>
      <c r="C169">
        <f>'Rådata-K'!N168</f>
        <v>7</v>
      </c>
      <c r="D169" s="30">
        <f>'Rådata-K'!M168</f>
        <v>237.875</v>
      </c>
      <c r="E169" s="32">
        <f>'Rådata-K'!O168</f>
        <v>1.1808364901629116</v>
      </c>
      <c r="F169" s="32">
        <f>'Rådata-K'!P168</f>
        <v>5.6994818652849721E-2</v>
      </c>
      <c r="G169" s="32">
        <f>'Rådata-K'!Q168</f>
        <v>0.12145969498910675</v>
      </c>
      <c r="H169" s="32">
        <f>'Rådata-K'!R168</f>
        <v>0.17483660130718953</v>
      </c>
      <c r="I169" s="32">
        <f>'Rådata-K'!S168</f>
        <v>4.1136141038197849E-2</v>
      </c>
      <c r="J169" s="32">
        <f>'Rådata-K'!T168</f>
        <v>0.9091796875</v>
      </c>
      <c r="K169" s="67">
        <f>'Rådata-K'!L168</f>
        <v>449800</v>
      </c>
      <c r="L169" s="18">
        <f>Tabell2[[#This Row],[NIBR11]]</f>
        <v>7</v>
      </c>
      <c r="M169" s="32">
        <f>IF(Tabell2[[#This Row],[ReisetidOslo]]&lt;=D$427,D$427,IF(Tabell2[[#This Row],[ReisetidOslo]]&gt;=D$428,D$428,Tabell2[[#This Row],[ReisetidOslo]]))</f>
        <v>237.875</v>
      </c>
      <c r="N169" s="32">
        <f>IF(Tabell2[[#This Row],[Beftettotal]]&lt;=E$427,E$427,IF(Tabell2[[#This Row],[Beftettotal]]&gt;=E$428,E$428,Tabell2[[#This Row],[Beftettotal]]))</f>
        <v>1.2454428893921135</v>
      </c>
      <c r="O169" s="32">
        <f>IF(Tabell2[[#This Row],[Befvekst10]]&lt;=F$427,F$427,IF(Tabell2[[#This Row],[Befvekst10]]&gt;=F$428,F$428,Tabell2[[#This Row],[Befvekst10]]))</f>
        <v>5.6994818652849721E-2</v>
      </c>
      <c r="P169" s="32">
        <f>IF(Tabell2[[#This Row],[Kvinneandel]]&lt;=G$427,G$427,IF(Tabell2[[#This Row],[Kvinneandel]]&gt;=G$428,G$428,Tabell2[[#This Row],[Kvinneandel]]))</f>
        <v>0.12145969498910675</v>
      </c>
      <c r="Q169" s="32">
        <f>IF(Tabell2[[#This Row],[Eldreandel]]&lt;=H$427,H$427,IF(Tabell2[[#This Row],[Eldreandel]]&gt;=H$428,H$428,Tabell2[[#This Row],[Eldreandel]]))</f>
        <v>0.17483660130718953</v>
      </c>
      <c r="R169" s="32">
        <f>IF(Tabell2[[#This Row],[Sysselsettingsvekst10]]&lt;=I$427,I$427,IF(Tabell2[[#This Row],[Sysselsettingsvekst10]]&gt;=I$428,I$428,Tabell2[[#This Row],[Sysselsettingsvekst10]]))</f>
        <v>4.1136141038197849E-2</v>
      </c>
      <c r="S169" s="32">
        <f>IF(Tabell2[[#This Row],[Yrkesaktivandel]]&lt;=J$427,J$427,IF(Tabell2[[#This Row],[Yrkesaktivandel]]&gt;=J$428,J$428,Tabell2[[#This Row],[Yrkesaktivandel]]))</f>
        <v>0.9091796875</v>
      </c>
      <c r="T169" s="67">
        <f>IF(Tabell2[[#This Row],[Inntekt]]&lt;=K$427,K$427,IF(Tabell2[[#This Row],[Inntekt]]&gt;=K$428,K$428,Tabell2[[#This Row],[Inntekt]]))</f>
        <v>449160</v>
      </c>
      <c r="U169" s="10">
        <f>IF(Tabell2[[#This Row],[NIBR11-T]]&lt;=L$430,100,IF(Tabell2[[#This Row],[NIBR11-T]]&gt;=L$429,0,100*(L$429-Tabell2[[#This Row],[NIBR11-T]])/L$432))</f>
        <v>40</v>
      </c>
      <c r="V169" s="10">
        <f>(M$429-Tabell2[[#This Row],[ReisetidOslo-T]])*100/M$432</f>
        <v>21.048875963904305</v>
      </c>
      <c r="W169" s="10">
        <f>100-(N$429-Tabell2[[#This Row],[Beftettotal-T]])*100/N$432</f>
        <v>0</v>
      </c>
      <c r="X169" s="10">
        <f>100-(O$429-Tabell2[[#This Row],[Befvekst10-T]])*100/O$432</f>
        <v>48.040604043737801</v>
      </c>
      <c r="Y169" s="10">
        <f>100-(P$429-Tabell2[[#This Row],[Kvinneandel-T]])*100/P$432</f>
        <v>83.314583660358878</v>
      </c>
      <c r="Z169" s="10">
        <f>(Q$429-Tabell2[[#This Row],[Eldreandel-T]])*100/Q$432</f>
        <v>51.984085302721297</v>
      </c>
      <c r="AA169" s="10">
        <f>100-(R$429-Tabell2[[#This Row],[Sysselsettingsvekst10-T]])*100/R$432</f>
        <v>51.754471376895118</v>
      </c>
      <c r="AB169" s="10">
        <f>100-(S$429-Tabell2[[#This Row],[Yrkesaktivandel-T]])*100/S$432</f>
        <v>86.976490971095089</v>
      </c>
      <c r="AC169" s="10">
        <f>100-(T$429-Tabell2[[#This Row],[Inntekt-T]])*100/T$432</f>
        <v>100</v>
      </c>
      <c r="AD16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50.351038088091023</v>
      </c>
    </row>
    <row r="170" spans="1:30" x14ac:dyDescent="0.25">
      <c r="A170" s="2" t="s">
        <v>164</v>
      </c>
      <c r="B170" s="2">
        <v>168</v>
      </c>
      <c r="C170">
        <f>'Rådata-K'!N169</f>
        <v>5</v>
      </c>
      <c r="D170" s="30">
        <f>'Rådata-K'!M169</f>
        <v>211.5625</v>
      </c>
      <c r="E170" s="32">
        <f>'Rådata-K'!O169</f>
        <v>34.450147983721791</v>
      </c>
      <c r="F170" s="32">
        <f>'Rådata-K'!P169</f>
        <v>9.5998234515227265E-2</v>
      </c>
      <c r="G170" s="32">
        <f>'Rådata-K'!Q169</f>
        <v>0.11692059869789918</v>
      </c>
      <c r="H170" s="32">
        <f>'Rådata-K'!R169</f>
        <v>0.14383515672192765</v>
      </c>
      <c r="I170" s="32">
        <f>'Rådata-K'!S169</f>
        <v>4.5774072257642739E-2</v>
      </c>
      <c r="J170" s="32">
        <f>'Rådata-K'!T169</f>
        <v>0.84280192104954899</v>
      </c>
      <c r="K170" s="67">
        <f>'Rådata-K'!L169</f>
        <v>445800</v>
      </c>
      <c r="L170" s="18">
        <f>Tabell2[[#This Row],[NIBR11]]</f>
        <v>5</v>
      </c>
      <c r="M170" s="32">
        <f>IF(Tabell2[[#This Row],[ReisetidOslo]]&lt;=D$427,D$427,IF(Tabell2[[#This Row],[ReisetidOslo]]&gt;=D$428,D$428,Tabell2[[#This Row],[ReisetidOslo]]))</f>
        <v>211.5625</v>
      </c>
      <c r="N170" s="32">
        <f>IF(Tabell2[[#This Row],[Beftettotal]]&lt;=E$427,E$427,IF(Tabell2[[#This Row],[Beftettotal]]&gt;=E$428,E$428,Tabell2[[#This Row],[Beftettotal]]))</f>
        <v>34.450147983721791</v>
      </c>
      <c r="O170" s="32">
        <f>IF(Tabell2[[#This Row],[Befvekst10]]&lt;=F$427,F$427,IF(Tabell2[[#This Row],[Befvekst10]]&gt;=F$428,F$428,Tabell2[[#This Row],[Befvekst10]]))</f>
        <v>9.5998234515227265E-2</v>
      </c>
      <c r="P170" s="32">
        <f>IF(Tabell2[[#This Row],[Kvinneandel]]&lt;=G$427,G$427,IF(Tabell2[[#This Row],[Kvinneandel]]&gt;=G$428,G$428,Tabell2[[#This Row],[Kvinneandel]]))</f>
        <v>0.11692059869789918</v>
      </c>
      <c r="Q170" s="32">
        <f>IF(Tabell2[[#This Row],[Eldreandel]]&lt;=H$427,H$427,IF(Tabell2[[#This Row],[Eldreandel]]&gt;=H$428,H$428,Tabell2[[#This Row],[Eldreandel]]))</f>
        <v>0.14383515672192765</v>
      </c>
      <c r="R170" s="32">
        <f>IF(Tabell2[[#This Row],[Sysselsettingsvekst10]]&lt;=I$427,I$427,IF(Tabell2[[#This Row],[Sysselsettingsvekst10]]&gt;=I$428,I$428,Tabell2[[#This Row],[Sysselsettingsvekst10]]))</f>
        <v>4.5774072257642739E-2</v>
      </c>
      <c r="S170" s="32">
        <f>IF(Tabell2[[#This Row],[Yrkesaktivandel]]&lt;=J$427,J$427,IF(Tabell2[[#This Row],[Yrkesaktivandel]]&gt;=J$428,J$428,Tabell2[[#This Row],[Yrkesaktivandel]]))</f>
        <v>0.84280192104954899</v>
      </c>
      <c r="T170" s="67">
        <f>IF(Tabell2[[#This Row],[Inntekt]]&lt;=K$427,K$427,IF(Tabell2[[#This Row],[Inntekt]]&gt;=K$428,K$428,Tabell2[[#This Row],[Inntekt]]))</f>
        <v>445800</v>
      </c>
      <c r="U170" s="10">
        <f>IF(Tabell2[[#This Row],[NIBR11-T]]&lt;=L$430,100,IF(Tabell2[[#This Row],[NIBR11-T]]&gt;=L$429,0,100*(L$429-Tabell2[[#This Row],[NIBR11-T]])/L$432))</f>
        <v>60</v>
      </c>
      <c r="V170" s="10">
        <f>(M$429-Tabell2[[#This Row],[ReisetidOslo-T]])*100/M$432</f>
        <v>32.385164541112573</v>
      </c>
      <c r="W170" s="10">
        <f>100-(N$429-Tabell2[[#This Row],[Beftettotal-T]])*100/N$432</f>
        <v>24.74766132906943</v>
      </c>
      <c r="X170" s="10">
        <f>100-(O$429-Tabell2[[#This Row],[Befvekst10-T]])*100/O$432</f>
        <v>64.842292910560928</v>
      </c>
      <c r="Y170" s="10">
        <f>100-(P$429-Tabell2[[#This Row],[Kvinneandel-T]])*100/P$432</f>
        <v>71.325454133894638</v>
      </c>
      <c r="Z170" s="10">
        <f>(Q$429-Tabell2[[#This Row],[Eldreandel-T]])*100/Q$432</f>
        <v>85.42262381416316</v>
      </c>
      <c r="AA170" s="10">
        <f>100-(R$429-Tabell2[[#This Row],[Sysselsettingsvekst10-T]])*100/R$432</f>
        <v>53.377024417152882</v>
      </c>
      <c r="AB170" s="10">
        <f>100-(S$429-Tabell2[[#This Row],[Yrkesaktivandel-T]])*100/S$432</f>
        <v>35.490983995003617</v>
      </c>
      <c r="AC170" s="10">
        <f>100-(T$429-Tabell2[[#This Row],[Inntekt-T]])*100/T$432</f>
        <v>96.267910696434527</v>
      </c>
      <c r="AD17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57.032736977392375</v>
      </c>
    </row>
    <row r="171" spans="1:30" x14ac:dyDescent="0.25">
      <c r="A171" s="2" t="s">
        <v>165</v>
      </c>
      <c r="B171" s="2">
        <v>169</v>
      </c>
      <c r="C171">
        <f>'Rådata-K'!N170</f>
        <v>2</v>
      </c>
      <c r="D171" s="30">
        <f>'Rådata-K'!M170</f>
        <v>162.78125</v>
      </c>
      <c r="E171" s="32">
        <f>'Rådata-K'!O170</f>
        <v>248.31272201026184</v>
      </c>
      <c r="F171" s="32">
        <f>'Rådata-K'!P170</f>
        <v>0.24773993091708402</v>
      </c>
      <c r="G171" s="32">
        <f>'Rådata-K'!Q170</f>
        <v>0.14302555068413314</v>
      </c>
      <c r="H171" s="32">
        <f>'Rådata-K'!R170</f>
        <v>0.10260010331536353</v>
      </c>
      <c r="I171" s="32">
        <f>'Rådata-K'!S170</f>
        <v>0.14517148464788265</v>
      </c>
      <c r="J171" s="32">
        <f>'Rådata-K'!T170</f>
        <v>0.82635859438367276</v>
      </c>
      <c r="K171" s="67">
        <f>'Rådata-K'!L170</f>
        <v>498300</v>
      </c>
      <c r="L171" s="18">
        <f>Tabell2[[#This Row],[NIBR11]]</f>
        <v>2</v>
      </c>
      <c r="M171" s="32">
        <f>IF(Tabell2[[#This Row],[ReisetidOslo]]&lt;=D$427,D$427,IF(Tabell2[[#This Row],[ReisetidOslo]]&gt;=D$428,D$428,Tabell2[[#This Row],[ReisetidOslo]]))</f>
        <v>162.78125</v>
      </c>
      <c r="N171" s="32">
        <f>IF(Tabell2[[#This Row],[Beftettotal]]&lt;=E$427,E$427,IF(Tabell2[[#This Row],[Beftettotal]]&gt;=E$428,E$428,Tabell2[[#This Row],[Beftettotal]]))</f>
        <v>135.41854576488009</v>
      </c>
      <c r="O171" s="32">
        <f>IF(Tabell2[[#This Row],[Befvekst10]]&lt;=F$427,F$427,IF(Tabell2[[#This Row],[Befvekst10]]&gt;=F$428,F$428,Tabell2[[#This Row],[Befvekst10]]))</f>
        <v>0.17761328412400704</v>
      </c>
      <c r="P171" s="32">
        <f>IF(Tabell2[[#This Row],[Kvinneandel]]&lt;=G$427,G$427,IF(Tabell2[[#This Row],[Kvinneandel]]&gt;=G$428,G$428,Tabell2[[#This Row],[Kvinneandel]]))</f>
        <v>0.12777681011054584</v>
      </c>
      <c r="Q171" s="32">
        <f>IF(Tabell2[[#This Row],[Eldreandel]]&lt;=H$427,H$427,IF(Tabell2[[#This Row],[Eldreandel]]&gt;=H$428,H$428,Tabell2[[#This Row],[Eldreandel]]))</f>
        <v>0.13032022035982854</v>
      </c>
      <c r="R171" s="32">
        <f>IF(Tabell2[[#This Row],[Sysselsettingsvekst10]]&lt;=I$427,I$427,IF(Tabell2[[#This Row],[Sysselsettingsvekst10]]&gt;=I$428,I$428,Tabell2[[#This Row],[Sysselsettingsvekst10]]))</f>
        <v>0.14517148464788265</v>
      </c>
      <c r="S171" s="32">
        <f>IF(Tabell2[[#This Row],[Yrkesaktivandel]]&lt;=J$427,J$427,IF(Tabell2[[#This Row],[Yrkesaktivandel]]&gt;=J$428,J$428,Tabell2[[#This Row],[Yrkesaktivandel]]))</f>
        <v>0.82635859438367276</v>
      </c>
      <c r="T171" s="67">
        <f>IF(Tabell2[[#This Row],[Inntekt]]&lt;=K$427,K$427,IF(Tabell2[[#This Row],[Inntekt]]&gt;=K$428,K$428,Tabell2[[#This Row],[Inntekt]]))</f>
        <v>449160</v>
      </c>
      <c r="U171" s="10">
        <f>IF(Tabell2[[#This Row],[NIBR11-T]]&lt;=L$430,100,IF(Tabell2[[#This Row],[NIBR11-T]]&gt;=L$429,0,100*(L$429-Tabell2[[#This Row],[NIBR11-T]])/L$432))</f>
        <v>90</v>
      </c>
      <c r="V171" s="10">
        <f>(M$429-Tabell2[[#This Row],[ReisetidOslo-T]])*100/M$432</f>
        <v>53.401728043514119</v>
      </c>
      <c r="W171" s="10">
        <f>100-(N$429-Tabell2[[#This Row],[Beftettotal-T]])*100/N$432</f>
        <v>100</v>
      </c>
      <c r="X171" s="10">
        <f>100-(O$429-Tabell2[[#This Row],[Befvekst10-T]])*100/O$432</f>
        <v>100</v>
      </c>
      <c r="Y171" s="10">
        <f>100-(P$429-Tabell2[[#This Row],[Kvinneandel-T]])*100/P$432</f>
        <v>100</v>
      </c>
      <c r="Z171" s="10">
        <f>(Q$429-Tabell2[[#This Row],[Eldreandel-T]])*100/Q$432</f>
        <v>100</v>
      </c>
      <c r="AA171" s="10">
        <f>100-(R$429-Tabell2[[#This Row],[Sysselsettingsvekst10-T]])*100/R$432</f>
        <v>88.150626274672788</v>
      </c>
      <c r="AB171" s="10">
        <f>100-(S$429-Tabell2[[#This Row],[Yrkesaktivandel-T]])*100/S$432</f>
        <v>22.736818631544494</v>
      </c>
      <c r="AC171" s="10">
        <f>100-(T$429-Tabell2[[#This Row],[Inntekt-T]])*100/T$432</f>
        <v>100</v>
      </c>
      <c r="AD17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84.428917294973147</v>
      </c>
    </row>
    <row r="172" spans="1:30" x14ac:dyDescent="0.25">
      <c r="A172" s="2" t="s">
        <v>166</v>
      </c>
      <c r="B172" s="2">
        <v>170</v>
      </c>
      <c r="C172">
        <f>'Rådata-K'!N171</f>
        <v>2</v>
      </c>
      <c r="D172" s="30">
        <f>'Rådata-K'!M171</f>
        <v>162.34375</v>
      </c>
      <c r="E172" s="32">
        <f>'Rådata-K'!O171</f>
        <v>1860.252277505256</v>
      </c>
      <c r="F172" s="32">
        <f>'Rådata-K'!P171</f>
        <v>0.13138984784554397</v>
      </c>
      <c r="G172" s="32">
        <f>'Rådata-K'!Q171</f>
        <v>0.14719465979552321</v>
      </c>
      <c r="H172" s="32">
        <f>'Rådata-K'!R171</f>
        <v>0.11543068960061478</v>
      </c>
      <c r="I172" s="32">
        <f>'Rådata-K'!S171</f>
        <v>3.7868545754980998E-2</v>
      </c>
      <c r="J172" s="32">
        <f>'Rådata-K'!T171</f>
        <v>0.8002503706944748</v>
      </c>
      <c r="K172" s="67">
        <f>'Rådata-K'!L171</f>
        <v>552700</v>
      </c>
      <c r="L172" s="18">
        <f>Tabell2[[#This Row],[NIBR11]]</f>
        <v>2</v>
      </c>
      <c r="M172" s="32">
        <f>IF(Tabell2[[#This Row],[ReisetidOslo]]&lt;=D$427,D$427,IF(Tabell2[[#This Row],[ReisetidOslo]]&gt;=D$428,D$428,Tabell2[[#This Row],[ReisetidOslo]]))</f>
        <v>162.34375</v>
      </c>
      <c r="N172" s="32">
        <f>IF(Tabell2[[#This Row],[Beftettotal]]&lt;=E$427,E$427,IF(Tabell2[[#This Row],[Beftettotal]]&gt;=E$428,E$428,Tabell2[[#This Row],[Beftettotal]]))</f>
        <v>135.41854576488009</v>
      </c>
      <c r="O172" s="32">
        <f>IF(Tabell2[[#This Row],[Befvekst10]]&lt;=F$427,F$427,IF(Tabell2[[#This Row],[Befvekst10]]&gt;=F$428,F$428,Tabell2[[#This Row],[Befvekst10]]))</f>
        <v>0.13138984784554397</v>
      </c>
      <c r="P172" s="32">
        <f>IF(Tabell2[[#This Row],[Kvinneandel]]&lt;=G$427,G$427,IF(Tabell2[[#This Row],[Kvinneandel]]&gt;=G$428,G$428,Tabell2[[#This Row],[Kvinneandel]]))</f>
        <v>0.12777681011054584</v>
      </c>
      <c r="Q172" s="32">
        <f>IF(Tabell2[[#This Row],[Eldreandel]]&lt;=H$427,H$427,IF(Tabell2[[#This Row],[Eldreandel]]&gt;=H$428,H$428,Tabell2[[#This Row],[Eldreandel]]))</f>
        <v>0.13032022035982854</v>
      </c>
      <c r="R172" s="32">
        <f>IF(Tabell2[[#This Row],[Sysselsettingsvekst10]]&lt;=I$427,I$427,IF(Tabell2[[#This Row],[Sysselsettingsvekst10]]&gt;=I$428,I$428,Tabell2[[#This Row],[Sysselsettingsvekst10]]))</f>
        <v>3.7868545754980998E-2</v>
      </c>
      <c r="S172" s="32">
        <f>IF(Tabell2[[#This Row],[Yrkesaktivandel]]&lt;=J$427,J$427,IF(Tabell2[[#This Row],[Yrkesaktivandel]]&gt;=J$428,J$428,Tabell2[[#This Row],[Yrkesaktivandel]]))</f>
        <v>0.8002503706944748</v>
      </c>
      <c r="T172" s="67">
        <f>IF(Tabell2[[#This Row],[Inntekt]]&lt;=K$427,K$427,IF(Tabell2[[#This Row],[Inntekt]]&gt;=K$428,K$428,Tabell2[[#This Row],[Inntekt]]))</f>
        <v>449160</v>
      </c>
      <c r="U172" s="10">
        <f>IF(Tabell2[[#This Row],[NIBR11-T]]&lt;=L$430,100,IF(Tabell2[[#This Row],[NIBR11-T]]&gt;=L$429,0,100*(L$429-Tabell2[[#This Row],[NIBR11-T]])/L$432))</f>
        <v>90</v>
      </c>
      <c r="V172" s="10">
        <f>(M$429-Tabell2[[#This Row],[ReisetidOslo-T]])*100/M$432</f>
        <v>53.590217402280054</v>
      </c>
      <c r="W172" s="10">
        <f>100-(N$429-Tabell2[[#This Row],[Beftettotal-T]])*100/N$432</f>
        <v>100</v>
      </c>
      <c r="X172" s="10">
        <f>100-(O$429-Tabell2[[#This Row],[Befvekst10-T]])*100/O$432</f>
        <v>80.088108245532027</v>
      </c>
      <c r="Y172" s="10">
        <f>100-(P$429-Tabell2[[#This Row],[Kvinneandel-T]])*100/P$432</f>
        <v>100</v>
      </c>
      <c r="Z172" s="10">
        <f>(Q$429-Tabell2[[#This Row],[Eldreandel-T]])*100/Q$432</f>
        <v>100</v>
      </c>
      <c r="AA172" s="10">
        <f>100-(R$429-Tabell2[[#This Row],[Sysselsettingsvekst10-T]])*100/R$432</f>
        <v>50.611322328266063</v>
      </c>
      <c r="AB172" s="10">
        <f>100-(S$429-Tabell2[[#This Row],[Yrkesaktivandel-T]])*100/S$432</f>
        <v>2.4861352361193241</v>
      </c>
      <c r="AC172" s="10">
        <f>100-(T$429-Tabell2[[#This Row],[Inntekt-T]])*100/T$432</f>
        <v>100</v>
      </c>
      <c r="AD17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74.686389145772949</v>
      </c>
    </row>
    <row r="173" spans="1:30" x14ac:dyDescent="0.25">
      <c r="A173" s="2" t="s">
        <v>167</v>
      </c>
      <c r="B173" s="2">
        <v>171</v>
      </c>
      <c r="C173">
        <f>'Rådata-K'!N172</f>
        <v>4</v>
      </c>
      <c r="D173" s="30">
        <f>'Rådata-K'!M172</f>
        <v>164.03125</v>
      </c>
      <c r="E173" s="32">
        <f>'Rådata-K'!O172</f>
        <v>511.43525526351999</v>
      </c>
      <c r="F173" s="32">
        <f>'Rådata-K'!P172</f>
        <v>0.15054329319258275</v>
      </c>
      <c r="G173" s="32">
        <f>'Rådata-K'!Q172</f>
        <v>0.13170639832104611</v>
      </c>
      <c r="H173" s="32">
        <f>'Rådata-K'!R172</f>
        <v>0.13566162621751063</v>
      </c>
      <c r="I173" s="32">
        <f>'Rådata-K'!S172</f>
        <v>4.1534339023421962E-2</v>
      </c>
      <c r="J173" s="32">
        <f>'Rådata-K'!T172</f>
        <v>0.78676731793960919</v>
      </c>
      <c r="K173" s="67">
        <f>'Rådata-K'!L172</f>
        <v>431900</v>
      </c>
      <c r="L173" s="18">
        <f>Tabell2[[#This Row],[NIBR11]]</f>
        <v>4</v>
      </c>
      <c r="M173" s="32">
        <f>IF(Tabell2[[#This Row],[ReisetidOslo]]&lt;=D$427,D$427,IF(Tabell2[[#This Row],[ReisetidOslo]]&gt;=D$428,D$428,Tabell2[[#This Row],[ReisetidOslo]]))</f>
        <v>164.03125</v>
      </c>
      <c r="N173" s="32">
        <f>IF(Tabell2[[#This Row],[Beftettotal]]&lt;=E$427,E$427,IF(Tabell2[[#This Row],[Beftettotal]]&gt;=E$428,E$428,Tabell2[[#This Row],[Beftettotal]]))</f>
        <v>135.41854576488009</v>
      </c>
      <c r="O173" s="32">
        <f>IF(Tabell2[[#This Row],[Befvekst10]]&lt;=F$427,F$427,IF(Tabell2[[#This Row],[Befvekst10]]&gt;=F$428,F$428,Tabell2[[#This Row],[Befvekst10]]))</f>
        <v>0.15054329319258275</v>
      </c>
      <c r="P173" s="32">
        <f>IF(Tabell2[[#This Row],[Kvinneandel]]&lt;=G$427,G$427,IF(Tabell2[[#This Row],[Kvinneandel]]&gt;=G$428,G$428,Tabell2[[#This Row],[Kvinneandel]]))</f>
        <v>0.12777681011054584</v>
      </c>
      <c r="Q173" s="32">
        <f>IF(Tabell2[[#This Row],[Eldreandel]]&lt;=H$427,H$427,IF(Tabell2[[#This Row],[Eldreandel]]&gt;=H$428,H$428,Tabell2[[#This Row],[Eldreandel]]))</f>
        <v>0.13566162621751063</v>
      </c>
      <c r="R173" s="32">
        <f>IF(Tabell2[[#This Row],[Sysselsettingsvekst10]]&lt;=I$427,I$427,IF(Tabell2[[#This Row],[Sysselsettingsvekst10]]&gt;=I$428,I$428,Tabell2[[#This Row],[Sysselsettingsvekst10]]))</f>
        <v>4.1534339023421962E-2</v>
      </c>
      <c r="S173" s="32">
        <f>IF(Tabell2[[#This Row],[Yrkesaktivandel]]&lt;=J$427,J$427,IF(Tabell2[[#This Row],[Yrkesaktivandel]]&gt;=J$428,J$428,Tabell2[[#This Row],[Yrkesaktivandel]]))</f>
        <v>0.7970451171433347</v>
      </c>
      <c r="T173" s="67">
        <f>IF(Tabell2[[#This Row],[Inntekt]]&lt;=K$427,K$427,IF(Tabell2[[#This Row],[Inntekt]]&gt;=K$428,K$428,Tabell2[[#This Row],[Inntekt]]))</f>
        <v>431900</v>
      </c>
      <c r="U173" s="10">
        <f>IF(Tabell2[[#This Row],[NIBR11-T]]&lt;=L$430,100,IF(Tabell2[[#This Row],[NIBR11-T]]&gt;=L$429,0,100*(L$429-Tabell2[[#This Row],[NIBR11-T]])/L$432))</f>
        <v>70</v>
      </c>
      <c r="V173" s="10">
        <f>(M$429-Tabell2[[#This Row],[ReisetidOslo-T]])*100/M$432</f>
        <v>52.863187018468601</v>
      </c>
      <c r="W173" s="10">
        <f>100-(N$429-Tabell2[[#This Row],[Beftettotal-T]])*100/N$432</f>
        <v>100</v>
      </c>
      <c r="X173" s="10">
        <f>100-(O$429-Tabell2[[#This Row],[Befvekst10-T]])*100/O$432</f>
        <v>88.338929932128522</v>
      </c>
      <c r="Y173" s="10">
        <f>100-(P$429-Tabell2[[#This Row],[Kvinneandel-T]])*100/P$432</f>
        <v>100</v>
      </c>
      <c r="Z173" s="10">
        <f>(Q$429-Tabell2[[#This Row],[Eldreandel-T]])*100/Q$432</f>
        <v>94.238694103878814</v>
      </c>
      <c r="AA173" s="10">
        <f>100-(R$429-Tabell2[[#This Row],[Sysselsettingsvekst10-T]])*100/R$432</f>
        <v>51.89377860698967</v>
      </c>
      <c r="AB173" s="10">
        <f>100-(S$429-Tabell2[[#This Row],[Yrkesaktivandel-T]])*100/S$432</f>
        <v>0</v>
      </c>
      <c r="AC173" s="10">
        <f>100-(T$429-Tabell2[[#This Row],[Inntekt-T]])*100/T$432</f>
        <v>80.828612684660669</v>
      </c>
      <c r="AD17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69.938278522631535</v>
      </c>
    </row>
    <row r="174" spans="1:30" x14ac:dyDescent="0.25">
      <c r="A174" s="2" t="s">
        <v>168</v>
      </c>
      <c r="B174" s="2">
        <v>172</v>
      </c>
      <c r="C174">
        <f>'Rådata-K'!N173</f>
        <v>5</v>
      </c>
      <c r="D174" s="30">
        <f>'Rådata-K'!M173</f>
        <v>226.96875</v>
      </c>
      <c r="E174" s="32">
        <f>'Rådata-K'!O173</f>
        <v>11.24144009763374</v>
      </c>
      <c r="F174" s="32">
        <f>'Rådata-K'!P173</f>
        <v>1.5309246785058184E-2</v>
      </c>
      <c r="G174" s="32">
        <f>'Rådata-K'!Q173</f>
        <v>0.11278648974668275</v>
      </c>
      <c r="H174" s="32">
        <f>'Rådata-K'!R173</f>
        <v>0.16586248492159228</v>
      </c>
      <c r="I174" s="32">
        <f>'Rådata-K'!S173</f>
        <v>2.5022341376228718E-2</v>
      </c>
      <c r="J174" s="32">
        <f>'Rådata-K'!T173</f>
        <v>0.84308365226899951</v>
      </c>
      <c r="K174" s="67">
        <f>'Rådata-K'!L173</f>
        <v>425000</v>
      </c>
      <c r="L174" s="18">
        <f>Tabell2[[#This Row],[NIBR11]]</f>
        <v>5</v>
      </c>
      <c r="M174" s="32">
        <f>IF(Tabell2[[#This Row],[ReisetidOslo]]&lt;=D$427,D$427,IF(Tabell2[[#This Row],[ReisetidOslo]]&gt;=D$428,D$428,Tabell2[[#This Row],[ReisetidOslo]]))</f>
        <v>226.96875</v>
      </c>
      <c r="N174" s="32">
        <f>IF(Tabell2[[#This Row],[Beftettotal]]&lt;=E$427,E$427,IF(Tabell2[[#This Row],[Beftettotal]]&gt;=E$428,E$428,Tabell2[[#This Row],[Beftettotal]]))</f>
        <v>11.24144009763374</v>
      </c>
      <c r="O174" s="32">
        <f>IF(Tabell2[[#This Row],[Befvekst10]]&lt;=F$427,F$427,IF(Tabell2[[#This Row],[Befvekst10]]&gt;=F$428,F$428,Tabell2[[#This Row],[Befvekst10]]))</f>
        <v>1.5309246785058184E-2</v>
      </c>
      <c r="P174" s="32">
        <f>IF(Tabell2[[#This Row],[Kvinneandel]]&lt;=G$427,G$427,IF(Tabell2[[#This Row],[Kvinneandel]]&gt;=G$428,G$428,Tabell2[[#This Row],[Kvinneandel]]))</f>
        <v>0.11278648974668275</v>
      </c>
      <c r="Q174" s="32">
        <f>IF(Tabell2[[#This Row],[Eldreandel]]&lt;=H$427,H$427,IF(Tabell2[[#This Row],[Eldreandel]]&gt;=H$428,H$428,Tabell2[[#This Row],[Eldreandel]]))</f>
        <v>0.16586248492159228</v>
      </c>
      <c r="R174" s="32">
        <f>IF(Tabell2[[#This Row],[Sysselsettingsvekst10]]&lt;=I$427,I$427,IF(Tabell2[[#This Row],[Sysselsettingsvekst10]]&gt;=I$428,I$428,Tabell2[[#This Row],[Sysselsettingsvekst10]]))</f>
        <v>2.5022341376228718E-2</v>
      </c>
      <c r="S174" s="32">
        <f>IF(Tabell2[[#This Row],[Yrkesaktivandel]]&lt;=J$427,J$427,IF(Tabell2[[#This Row],[Yrkesaktivandel]]&gt;=J$428,J$428,Tabell2[[#This Row],[Yrkesaktivandel]]))</f>
        <v>0.84308365226899951</v>
      </c>
      <c r="T174" s="67">
        <f>IF(Tabell2[[#This Row],[Inntekt]]&lt;=K$427,K$427,IF(Tabell2[[#This Row],[Inntekt]]&gt;=K$428,K$428,Tabell2[[#This Row],[Inntekt]]))</f>
        <v>425000</v>
      </c>
      <c r="U174" s="10">
        <f>IF(Tabell2[[#This Row],[NIBR11-T]]&lt;=L$430,100,IF(Tabell2[[#This Row],[NIBR11-T]]&gt;=L$429,0,100*(L$429-Tabell2[[#This Row],[NIBR11-T]])/L$432))</f>
        <v>60</v>
      </c>
      <c r="V174" s="10">
        <f>(M$429-Tabell2[[#This Row],[ReisetidOslo-T]])*100/M$432</f>
        <v>25.747646407426497</v>
      </c>
      <c r="W174" s="10">
        <f>100-(N$429-Tabell2[[#This Row],[Beftettotal-T]])*100/N$432</f>
        <v>7.4500753086986862</v>
      </c>
      <c r="X174" s="10">
        <f>100-(O$429-Tabell2[[#This Row],[Befvekst10-T]])*100/O$432</f>
        <v>30.083509946402131</v>
      </c>
      <c r="Y174" s="10">
        <f>100-(P$429-Tabell2[[#This Row],[Kvinneandel-T]])*100/P$432</f>
        <v>60.406018961598889</v>
      </c>
      <c r="Z174" s="10">
        <f>(Q$429-Tabell2[[#This Row],[Eldreandel-T]])*100/Q$432</f>
        <v>61.663677346913133</v>
      </c>
      <c r="AA174" s="10">
        <f>100-(R$429-Tabell2[[#This Row],[Sysselsettingsvekst10-T]])*100/R$432</f>
        <v>46.117153056602767</v>
      </c>
      <c r="AB174" s="10">
        <f>100-(S$429-Tabell2[[#This Row],[Yrkesaktivandel-T]])*100/S$432</f>
        <v>35.709507085490998</v>
      </c>
      <c r="AC174" s="10">
        <f>100-(T$429-Tabell2[[#This Row],[Inntekt-T]])*100/T$432</f>
        <v>73.164500721981568</v>
      </c>
      <c r="AD17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42.939075062726083</v>
      </c>
    </row>
    <row r="175" spans="1:30" x14ac:dyDescent="0.25">
      <c r="A175" s="2" t="s">
        <v>169</v>
      </c>
      <c r="B175" s="2">
        <v>173</v>
      </c>
      <c r="C175">
        <f>'Rådata-K'!N174</f>
        <v>6</v>
      </c>
      <c r="D175" s="30">
        <f>'Rådata-K'!M174</f>
        <v>232.09375</v>
      </c>
      <c r="E175" s="32">
        <f>'Rådata-K'!O174</f>
        <v>7.9795308750795746</v>
      </c>
      <c r="F175" s="32">
        <f>'Rådata-K'!P174</f>
        <v>4.4551282051282115E-2</v>
      </c>
      <c r="G175" s="32">
        <f>'Rådata-K'!Q174</f>
        <v>0.11199754525928199</v>
      </c>
      <c r="H175" s="32">
        <f>'Rådata-K'!R174</f>
        <v>0.15096655415771709</v>
      </c>
      <c r="I175" s="32">
        <f>'Rådata-K'!S174</f>
        <v>-6.0903732809430289E-2</v>
      </c>
      <c r="J175" s="32">
        <f>'Rådata-K'!T174</f>
        <v>0.875</v>
      </c>
      <c r="K175" s="67">
        <f>'Rådata-K'!L174</f>
        <v>387600</v>
      </c>
      <c r="L175" s="18">
        <f>Tabell2[[#This Row],[NIBR11]]</f>
        <v>6</v>
      </c>
      <c r="M175" s="32">
        <f>IF(Tabell2[[#This Row],[ReisetidOslo]]&lt;=D$427,D$427,IF(Tabell2[[#This Row],[ReisetidOslo]]&gt;=D$428,D$428,Tabell2[[#This Row],[ReisetidOslo]]))</f>
        <v>232.09375</v>
      </c>
      <c r="N175" s="32">
        <f>IF(Tabell2[[#This Row],[Beftettotal]]&lt;=E$427,E$427,IF(Tabell2[[#This Row],[Beftettotal]]&gt;=E$428,E$428,Tabell2[[#This Row],[Beftettotal]]))</f>
        <v>7.9795308750795746</v>
      </c>
      <c r="O175" s="32">
        <f>IF(Tabell2[[#This Row],[Befvekst10]]&lt;=F$427,F$427,IF(Tabell2[[#This Row],[Befvekst10]]&gt;=F$428,F$428,Tabell2[[#This Row],[Befvekst10]]))</f>
        <v>4.4551282051282115E-2</v>
      </c>
      <c r="P175" s="32">
        <f>IF(Tabell2[[#This Row],[Kvinneandel]]&lt;=G$427,G$427,IF(Tabell2[[#This Row],[Kvinneandel]]&gt;=G$428,G$428,Tabell2[[#This Row],[Kvinneandel]]))</f>
        <v>0.11199754525928199</v>
      </c>
      <c r="Q175" s="32">
        <f>IF(Tabell2[[#This Row],[Eldreandel]]&lt;=H$427,H$427,IF(Tabell2[[#This Row],[Eldreandel]]&gt;=H$428,H$428,Tabell2[[#This Row],[Eldreandel]]))</f>
        <v>0.15096655415771709</v>
      </c>
      <c r="R175" s="32">
        <f>IF(Tabell2[[#This Row],[Sysselsettingsvekst10]]&lt;=I$427,I$427,IF(Tabell2[[#This Row],[Sysselsettingsvekst10]]&gt;=I$428,I$428,Tabell2[[#This Row],[Sysselsettingsvekst10]]))</f>
        <v>-6.0903732809430289E-2</v>
      </c>
      <c r="S175" s="32">
        <f>IF(Tabell2[[#This Row],[Yrkesaktivandel]]&lt;=J$427,J$427,IF(Tabell2[[#This Row],[Yrkesaktivandel]]&gt;=J$428,J$428,Tabell2[[#This Row],[Yrkesaktivandel]]))</f>
        <v>0.875</v>
      </c>
      <c r="T175" s="67">
        <f>IF(Tabell2[[#This Row],[Inntekt]]&lt;=K$427,K$427,IF(Tabell2[[#This Row],[Inntekt]]&gt;=K$428,K$428,Tabell2[[#This Row],[Inntekt]]))</f>
        <v>387600</v>
      </c>
      <c r="U175" s="10">
        <f>IF(Tabell2[[#This Row],[NIBR11-T]]&lt;=L$430,100,IF(Tabell2[[#This Row],[NIBR11-T]]&gt;=L$429,0,100*(L$429-Tabell2[[#This Row],[NIBR11-T]])/L$432))</f>
        <v>50</v>
      </c>
      <c r="V175" s="10">
        <f>(M$429-Tabell2[[#This Row],[ReisetidOslo-T]])*100/M$432</f>
        <v>23.539628204739849</v>
      </c>
      <c r="W175" s="10">
        <f>100-(N$429-Tabell2[[#This Row],[Beftettotal-T]])*100/N$432</f>
        <v>5.0189552461469731</v>
      </c>
      <c r="X175" s="10">
        <f>100-(O$429-Tabell2[[#This Row],[Befvekst10-T]])*100/O$432</f>
        <v>42.680241989291829</v>
      </c>
      <c r="Y175" s="10">
        <f>100-(P$429-Tabell2[[#This Row],[Kvinneandel-T]])*100/P$432</f>
        <v>58.322177368072957</v>
      </c>
      <c r="Z175" s="10">
        <f>(Q$429-Tabell2[[#This Row],[Eldreandel-T]])*100/Q$432</f>
        <v>77.73061103904206</v>
      </c>
      <c r="AA175" s="10">
        <f>100-(R$429-Tabell2[[#This Row],[Sysselsettingsvekst10-T]])*100/R$432</f>
        <v>16.05641987392265</v>
      </c>
      <c r="AB175" s="10">
        <f>100-(S$429-Tabell2[[#This Row],[Yrkesaktivandel-T]])*100/S$432</f>
        <v>60.465226231033633</v>
      </c>
      <c r="AC175" s="10">
        <f>100-(T$429-Tabell2[[#This Row],[Inntekt-T]])*100/T$432</f>
        <v>31.622792402532482</v>
      </c>
      <c r="AD17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39.008990014051676</v>
      </c>
    </row>
    <row r="176" spans="1:30" x14ac:dyDescent="0.25">
      <c r="A176" s="2" t="s">
        <v>170</v>
      </c>
      <c r="B176" s="2">
        <v>174</v>
      </c>
      <c r="C176">
        <f>'Rådata-K'!N175</f>
        <v>2</v>
      </c>
      <c r="D176" s="30">
        <f>'Rådata-K'!M175</f>
        <v>191.21875</v>
      </c>
      <c r="E176" s="32">
        <f>'Rådata-K'!O175</f>
        <v>4.34401660133733</v>
      </c>
      <c r="F176" s="32">
        <f>'Rådata-K'!P175</f>
        <v>0.12724371759074593</v>
      </c>
      <c r="G176" s="32">
        <f>'Rådata-K'!Q175</f>
        <v>0.11677282377919321</v>
      </c>
      <c r="H176" s="32">
        <f>'Rådata-K'!R175</f>
        <v>0.11818825194621373</v>
      </c>
      <c r="I176" s="32">
        <f>'Rådata-K'!S175</f>
        <v>1.3940520446096727E-2</v>
      </c>
      <c r="J176" s="32">
        <f>'Rådata-K'!T175</f>
        <v>0.94552285535378833</v>
      </c>
      <c r="K176" s="67">
        <f>'Rådata-K'!L175</f>
        <v>450300</v>
      </c>
      <c r="L176" s="18">
        <f>Tabell2[[#This Row],[NIBR11]]</f>
        <v>2</v>
      </c>
      <c r="M176" s="32">
        <f>IF(Tabell2[[#This Row],[ReisetidOslo]]&lt;=D$427,D$427,IF(Tabell2[[#This Row],[ReisetidOslo]]&gt;=D$428,D$428,Tabell2[[#This Row],[ReisetidOslo]]))</f>
        <v>191.21875</v>
      </c>
      <c r="N176" s="32">
        <f>IF(Tabell2[[#This Row],[Beftettotal]]&lt;=E$427,E$427,IF(Tabell2[[#This Row],[Beftettotal]]&gt;=E$428,E$428,Tabell2[[#This Row],[Beftettotal]]))</f>
        <v>4.34401660133733</v>
      </c>
      <c r="O176" s="32">
        <f>IF(Tabell2[[#This Row],[Befvekst10]]&lt;=F$427,F$427,IF(Tabell2[[#This Row],[Befvekst10]]&gt;=F$428,F$428,Tabell2[[#This Row],[Befvekst10]]))</f>
        <v>0.12724371759074593</v>
      </c>
      <c r="P176" s="32">
        <f>IF(Tabell2[[#This Row],[Kvinneandel]]&lt;=G$427,G$427,IF(Tabell2[[#This Row],[Kvinneandel]]&gt;=G$428,G$428,Tabell2[[#This Row],[Kvinneandel]]))</f>
        <v>0.11677282377919321</v>
      </c>
      <c r="Q176" s="32">
        <f>IF(Tabell2[[#This Row],[Eldreandel]]&lt;=H$427,H$427,IF(Tabell2[[#This Row],[Eldreandel]]&gt;=H$428,H$428,Tabell2[[#This Row],[Eldreandel]]))</f>
        <v>0.13032022035982854</v>
      </c>
      <c r="R176" s="32">
        <f>IF(Tabell2[[#This Row],[Sysselsettingsvekst10]]&lt;=I$427,I$427,IF(Tabell2[[#This Row],[Sysselsettingsvekst10]]&gt;=I$428,I$428,Tabell2[[#This Row],[Sysselsettingsvekst10]]))</f>
        <v>1.3940520446096727E-2</v>
      </c>
      <c r="S176" s="32">
        <f>IF(Tabell2[[#This Row],[Yrkesaktivandel]]&lt;=J$427,J$427,IF(Tabell2[[#This Row],[Yrkesaktivandel]]&gt;=J$428,J$428,Tabell2[[#This Row],[Yrkesaktivandel]]))</f>
        <v>0.92597026588718434</v>
      </c>
      <c r="T176" s="67">
        <f>IF(Tabell2[[#This Row],[Inntekt]]&lt;=K$427,K$427,IF(Tabell2[[#This Row],[Inntekt]]&gt;=K$428,K$428,Tabell2[[#This Row],[Inntekt]]))</f>
        <v>449160</v>
      </c>
      <c r="U176" s="10">
        <f>IF(Tabell2[[#This Row],[NIBR11-T]]&lt;=L$430,100,IF(Tabell2[[#This Row],[NIBR11-T]]&gt;=L$429,0,100*(L$429-Tabell2[[#This Row],[NIBR11-T]])/L$432))</f>
        <v>90</v>
      </c>
      <c r="V176" s="10">
        <f>(M$429-Tabell2[[#This Row],[ReisetidOslo-T]])*100/M$432</f>
        <v>41.149919723728466</v>
      </c>
      <c r="W176" s="10">
        <f>100-(N$429-Tabell2[[#This Row],[Beftettotal-T]])*100/N$432</f>
        <v>2.3093851491387909</v>
      </c>
      <c r="X176" s="10">
        <f>100-(O$429-Tabell2[[#This Row],[Befvekst10-T]])*100/O$432</f>
        <v>78.302059793051882</v>
      </c>
      <c r="Y176" s="10">
        <f>100-(P$429-Tabell2[[#This Row],[Kvinneandel-T]])*100/P$432</f>
        <v>70.935135769298469</v>
      </c>
      <c r="Z176" s="10">
        <f>(Q$429-Tabell2[[#This Row],[Eldreandel-T]])*100/Q$432</f>
        <v>100</v>
      </c>
      <c r="AA176" s="10">
        <f>100-(R$429-Tabell2[[#This Row],[Sysselsettingsvekst10-T]])*100/R$432</f>
        <v>42.240242988080901</v>
      </c>
      <c r="AB176" s="10">
        <f>100-(S$429-Tabell2[[#This Row],[Yrkesaktivandel-T]])*100/S$432</f>
        <v>100</v>
      </c>
      <c r="AC176" s="10">
        <f>100-(T$429-Tabell2[[#This Row],[Inntekt-T]])*100/T$432</f>
        <v>100</v>
      </c>
      <c r="AD17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70.777123533170112</v>
      </c>
    </row>
    <row r="177" spans="1:30" x14ac:dyDescent="0.25">
      <c r="A177" s="2" t="s">
        <v>171</v>
      </c>
      <c r="B177" s="2">
        <v>175</v>
      </c>
      <c r="C177">
        <f>'Rådata-K'!N176</f>
        <v>2</v>
      </c>
      <c r="D177" s="30">
        <f>'Rådata-K'!M176</f>
        <v>187.96875</v>
      </c>
      <c r="E177" s="32">
        <f>'Rådata-K'!O176</f>
        <v>72.871041513236946</v>
      </c>
      <c r="F177" s="32">
        <f>'Rådata-K'!P176</f>
        <v>0.24734607218683657</v>
      </c>
      <c r="G177" s="32">
        <f>'Rådata-K'!Q176</f>
        <v>0.13531914893617022</v>
      </c>
      <c r="H177" s="32">
        <f>'Rådata-K'!R176</f>
        <v>0.1126063829787234</v>
      </c>
      <c r="I177" s="32">
        <f>'Rådata-K'!S176</f>
        <v>0.21780072904009717</v>
      </c>
      <c r="J177" s="32">
        <f>'Rådata-K'!T176</f>
        <v>0.90895632864544784</v>
      </c>
      <c r="K177" s="67">
        <f>'Rådata-K'!L176</f>
        <v>442100</v>
      </c>
      <c r="L177" s="18">
        <f>Tabell2[[#This Row],[NIBR11]]</f>
        <v>2</v>
      </c>
      <c r="M177" s="32">
        <f>IF(Tabell2[[#This Row],[ReisetidOslo]]&lt;=D$427,D$427,IF(Tabell2[[#This Row],[ReisetidOslo]]&gt;=D$428,D$428,Tabell2[[#This Row],[ReisetidOslo]]))</f>
        <v>187.96875</v>
      </c>
      <c r="N177" s="32">
        <f>IF(Tabell2[[#This Row],[Beftettotal]]&lt;=E$427,E$427,IF(Tabell2[[#This Row],[Beftettotal]]&gt;=E$428,E$428,Tabell2[[#This Row],[Beftettotal]]))</f>
        <v>72.871041513236946</v>
      </c>
      <c r="O177" s="32">
        <f>IF(Tabell2[[#This Row],[Befvekst10]]&lt;=F$427,F$427,IF(Tabell2[[#This Row],[Befvekst10]]&gt;=F$428,F$428,Tabell2[[#This Row],[Befvekst10]]))</f>
        <v>0.17761328412400704</v>
      </c>
      <c r="P177" s="32">
        <f>IF(Tabell2[[#This Row],[Kvinneandel]]&lt;=G$427,G$427,IF(Tabell2[[#This Row],[Kvinneandel]]&gt;=G$428,G$428,Tabell2[[#This Row],[Kvinneandel]]))</f>
        <v>0.12777681011054584</v>
      </c>
      <c r="Q177" s="32">
        <f>IF(Tabell2[[#This Row],[Eldreandel]]&lt;=H$427,H$427,IF(Tabell2[[#This Row],[Eldreandel]]&gt;=H$428,H$428,Tabell2[[#This Row],[Eldreandel]]))</f>
        <v>0.13032022035982854</v>
      </c>
      <c r="R177" s="32">
        <f>IF(Tabell2[[#This Row],[Sysselsettingsvekst10]]&lt;=I$427,I$427,IF(Tabell2[[#This Row],[Sysselsettingsvekst10]]&gt;=I$428,I$428,Tabell2[[#This Row],[Sysselsettingsvekst10]]))</f>
        <v>0.17904192152607218</v>
      </c>
      <c r="S177" s="32">
        <f>IF(Tabell2[[#This Row],[Yrkesaktivandel]]&lt;=J$427,J$427,IF(Tabell2[[#This Row],[Yrkesaktivandel]]&gt;=J$428,J$428,Tabell2[[#This Row],[Yrkesaktivandel]]))</f>
        <v>0.90895632864544784</v>
      </c>
      <c r="T177" s="67">
        <f>IF(Tabell2[[#This Row],[Inntekt]]&lt;=K$427,K$427,IF(Tabell2[[#This Row],[Inntekt]]&gt;=K$428,K$428,Tabell2[[#This Row],[Inntekt]]))</f>
        <v>442100</v>
      </c>
      <c r="U177" s="10">
        <f>IF(Tabell2[[#This Row],[NIBR11-T]]&lt;=L$430,100,IF(Tabell2[[#This Row],[NIBR11-T]]&gt;=L$429,0,100*(L$429-Tabell2[[#This Row],[NIBR11-T]])/L$432))</f>
        <v>90</v>
      </c>
      <c r="V177" s="10">
        <f>(M$429-Tabell2[[#This Row],[ReisetidOslo-T]])*100/M$432</f>
        <v>42.550126388846827</v>
      </c>
      <c r="W177" s="10">
        <f>100-(N$429-Tabell2[[#This Row],[Beftettotal-T]])*100/N$432</f>
        <v>53.382978472453644</v>
      </c>
      <c r="X177" s="10">
        <f>100-(O$429-Tabell2[[#This Row],[Befvekst10-T]])*100/O$432</f>
        <v>100</v>
      </c>
      <c r="Y177" s="10">
        <f>100-(P$429-Tabell2[[#This Row],[Kvinneandel-T]])*100/P$432</f>
        <v>100</v>
      </c>
      <c r="Z177" s="10">
        <f>(Q$429-Tabell2[[#This Row],[Eldreandel-T]])*100/Q$432</f>
        <v>100</v>
      </c>
      <c r="AA177" s="10">
        <f>100-(R$429-Tabell2[[#This Row],[Sysselsettingsvekst10-T]])*100/R$432</f>
        <v>100</v>
      </c>
      <c r="AB177" s="10">
        <f>100-(S$429-Tabell2[[#This Row],[Yrkesaktivandel-T]])*100/S$432</f>
        <v>86.803244047024492</v>
      </c>
      <c r="AC177" s="10">
        <f>100-(T$429-Tabell2[[#This Row],[Inntekt-T]])*100/T$432</f>
        <v>92.158169499055873</v>
      </c>
      <c r="AD17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85.489451840738084</v>
      </c>
    </row>
    <row r="178" spans="1:30" x14ac:dyDescent="0.25">
      <c r="A178" s="2" t="s">
        <v>172</v>
      </c>
      <c r="B178" s="2">
        <v>176</v>
      </c>
      <c r="C178">
        <f>'Rådata-K'!N177</f>
        <v>2</v>
      </c>
      <c r="D178" s="30">
        <f>'Rådata-K'!M177</f>
        <v>170.03125</v>
      </c>
      <c r="E178" s="32">
        <f>'Rådata-K'!O177</f>
        <v>167.78570799189356</v>
      </c>
      <c r="F178" s="32">
        <f>'Rådata-K'!P177</f>
        <v>0.24693864187021153</v>
      </c>
      <c r="G178" s="32">
        <f>'Rådata-K'!Q177</f>
        <v>0.13795819766831216</v>
      </c>
      <c r="H178" s="32">
        <f>'Rådata-K'!R177</f>
        <v>0.11170045163323181</v>
      </c>
      <c r="I178" s="32">
        <f>'Rådata-K'!S177</f>
        <v>0.34144309281786378</v>
      </c>
      <c r="J178" s="32">
        <f>'Rådata-K'!T177</f>
        <v>0.88663236754219699</v>
      </c>
      <c r="K178" s="67">
        <f>'Rådata-K'!L177</f>
        <v>474700</v>
      </c>
      <c r="L178" s="18">
        <f>Tabell2[[#This Row],[NIBR11]]</f>
        <v>2</v>
      </c>
      <c r="M178" s="32">
        <f>IF(Tabell2[[#This Row],[ReisetidOslo]]&lt;=D$427,D$427,IF(Tabell2[[#This Row],[ReisetidOslo]]&gt;=D$428,D$428,Tabell2[[#This Row],[ReisetidOslo]]))</f>
        <v>170.03125</v>
      </c>
      <c r="N178" s="32">
        <f>IF(Tabell2[[#This Row],[Beftettotal]]&lt;=E$427,E$427,IF(Tabell2[[#This Row],[Beftettotal]]&gt;=E$428,E$428,Tabell2[[#This Row],[Beftettotal]]))</f>
        <v>135.41854576488009</v>
      </c>
      <c r="O178" s="32">
        <f>IF(Tabell2[[#This Row],[Befvekst10]]&lt;=F$427,F$427,IF(Tabell2[[#This Row],[Befvekst10]]&gt;=F$428,F$428,Tabell2[[#This Row],[Befvekst10]]))</f>
        <v>0.17761328412400704</v>
      </c>
      <c r="P178" s="32">
        <f>IF(Tabell2[[#This Row],[Kvinneandel]]&lt;=G$427,G$427,IF(Tabell2[[#This Row],[Kvinneandel]]&gt;=G$428,G$428,Tabell2[[#This Row],[Kvinneandel]]))</f>
        <v>0.12777681011054584</v>
      </c>
      <c r="Q178" s="32">
        <f>IF(Tabell2[[#This Row],[Eldreandel]]&lt;=H$427,H$427,IF(Tabell2[[#This Row],[Eldreandel]]&gt;=H$428,H$428,Tabell2[[#This Row],[Eldreandel]]))</f>
        <v>0.13032022035982854</v>
      </c>
      <c r="R178" s="32">
        <f>IF(Tabell2[[#This Row],[Sysselsettingsvekst10]]&lt;=I$427,I$427,IF(Tabell2[[#This Row],[Sysselsettingsvekst10]]&gt;=I$428,I$428,Tabell2[[#This Row],[Sysselsettingsvekst10]]))</f>
        <v>0.17904192152607218</v>
      </c>
      <c r="S178" s="32">
        <f>IF(Tabell2[[#This Row],[Yrkesaktivandel]]&lt;=J$427,J$427,IF(Tabell2[[#This Row],[Yrkesaktivandel]]&gt;=J$428,J$428,Tabell2[[#This Row],[Yrkesaktivandel]]))</f>
        <v>0.88663236754219699</v>
      </c>
      <c r="T178" s="67">
        <f>IF(Tabell2[[#This Row],[Inntekt]]&lt;=K$427,K$427,IF(Tabell2[[#This Row],[Inntekt]]&gt;=K$428,K$428,Tabell2[[#This Row],[Inntekt]]))</f>
        <v>449160</v>
      </c>
      <c r="U178" s="10">
        <f>IF(Tabell2[[#This Row],[NIBR11-T]]&lt;=L$430,100,IF(Tabell2[[#This Row],[NIBR11-T]]&gt;=L$429,0,100*(L$429-Tabell2[[#This Row],[NIBR11-T]])/L$432))</f>
        <v>90</v>
      </c>
      <c r="V178" s="10">
        <f>(M$429-Tabell2[[#This Row],[ReisetidOslo-T]])*100/M$432</f>
        <v>50.278190098250086</v>
      </c>
      <c r="W178" s="10">
        <f>100-(N$429-Tabell2[[#This Row],[Beftettotal-T]])*100/N$432</f>
        <v>100</v>
      </c>
      <c r="X178" s="10">
        <f>100-(O$429-Tabell2[[#This Row],[Befvekst10-T]])*100/O$432</f>
        <v>100</v>
      </c>
      <c r="Y178" s="10">
        <f>100-(P$429-Tabell2[[#This Row],[Kvinneandel-T]])*100/P$432</f>
        <v>100</v>
      </c>
      <c r="Z178" s="10">
        <f>(Q$429-Tabell2[[#This Row],[Eldreandel-T]])*100/Q$432</f>
        <v>100</v>
      </c>
      <c r="AA178" s="10">
        <f>100-(R$429-Tabell2[[#This Row],[Sysselsettingsvekst10-T]])*100/R$432</f>
        <v>100</v>
      </c>
      <c r="AB178" s="10">
        <f>100-(S$429-Tabell2[[#This Row],[Yrkesaktivandel-T]])*100/S$432</f>
        <v>69.487800690349047</v>
      </c>
      <c r="AC178" s="10">
        <f>100-(T$429-Tabell2[[#This Row],[Inntekt-T]])*100/T$432</f>
        <v>100</v>
      </c>
      <c r="AD17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89.97659907885992</v>
      </c>
    </row>
    <row r="179" spans="1:30" x14ac:dyDescent="0.25">
      <c r="A179" s="2" t="s">
        <v>173</v>
      </c>
      <c r="B179" s="2">
        <v>177</v>
      </c>
      <c r="C179">
        <f>'Rådata-K'!N178</f>
        <v>2</v>
      </c>
      <c r="D179" s="30">
        <f>'Rådata-K'!M178</f>
        <v>174.3125</v>
      </c>
      <c r="E179" s="32">
        <f>'Rådata-K'!O178</f>
        <v>101.83962006659752</v>
      </c>
      <c r="F179" s="32">
        <f>'Rådata-K'!P178</f>
        <v>0.23976608187134496</v>
      </c>
      <c r="G179" s="32">
        <f>'Rådata-K'!Q178</f>
        <v>0.13770368782161235</v>
      </c>
      <c r="H179" s="32">
        <f>'Rådata-K'!R178</f>
        <v>0.11310034305317324</v>
      </c>
      <c r="I179" s="32">
        <f>'Rådata-K'!S178</f>
        <v>7.0763500931098733E-2</v>
      </c>
      <c r="J179" s="32">
        <f>'Rådata-K'!T178</f>
        <v>0.8863470652570179</v>
      </c>
      <c r="K179" s="67">
        <f>'Rådata-K'!L178</f>
        <v>488000</v>
      </c>
      <c r="L179" s="18">
        <f>Tabell2[[#This Row],[NIBR11]]</f>
        <v>2</v>
      </c>
      <c r="M179" s="32">
        <f>IF(Tabell2[[#This Row],[ReisetidOslo]]&lt;=D$427,D$427,IF(Tabell2[[#This Row],[ReisetidOslo]]&gt;=D$428,D$428,Tabell2[[#This Row],[ReisetidOslo]]))</f>
        <v>174.3125</v>
      </c>
      <c r="N179" s="32">
        <f>IF(Tabell2[[#This Row],[Beftettotal]]&lt;=E$427,E$427,IF(Tabell2[[#This Row],[Beftettotal]]&gt;=E$428,E$428,Tabell2[[#This Row],[Beftettotal]]))</f>
        <v>101.83962006659752</v>
      </c>
      <c r="O179" s="32">
        <f>IF(Tabell2[[#This Row],[Befvekst10]]&lt;=F$427,F$427,IF(Tabell2[[#This Row],[Befvekst10]]&gt;=F$428,F$428,Tabell2[[#This Row],[Befvekst10]]))</f>
        <v>0.17761328412400704</v>
      </c>
      <c r="P179" s="32">
        <f>IF(Tabell2[[#This Row],[Kvinneandel]]&lt;=G$427,G$427,IF(Tabell2[[#This Row],[Kvinneandel]]&gt;=G$428,G$428,Tabell2[[#This Row],[Kvinneandel]]))</f>
        <v>0.12777681011054584</v>
      </c>
      <c r="Q179" s="32">
        <f>IF(Tabell2[[#This Row],[Eldreandel]]&lt;=H$427,H$427,IF(Tabell2[[#This Row],[Eldreandel]]&gt;=H$428,H$428,Tabell2[[#This Row],[Eldreandel]]))</f>
        <v>0.13032022035982854</v>
      </c>
      <c r="R179" s="32">
        <f>IF(Tabell2[[#This Row],[Sysselsettingsvekst10]]&lt;=I$427,I$427,IF(Tabell2[[#This Row],[Sysselsettingsvekst10]]&gt;=I$428,I$428,Tabell2[[#This Row],[Sysselsettingsvekst10]]))</f>
        <v>7.0763500931098733E-2</v>
      </c>
      <c r="S179" s="32">
        <f>IF(Tabell2[[#This Row],[Yrkesaktivandel]]&lt;=J$427,J$427,IF(Tabell2[[#This Row],[Yrkesaktivandel]]&gt;=J$428,J$428,Tabell2[[#This Row],[Yrkesaktivandel]]))</f>
        <v>0.8863470652570179</v>
      </c>
      <c r="T179" s="67">
        <f>IF(Tabell2[[#This Row],[Inntekt]]&lt;=K$427,K$427,IF(Tabell2[[#This Row],[Inntekt]]&gt;=K$428,K$428,Tabell2[[#This Row],[Inntekt]]))</f>
        <v>449160</v>
      </c>
      <c r="U179" s="10">
        <f>IF(Tabell2[[#This Row],[NIBR11-T]]&lt;=L$430,100,IF(Tabell2[[#This Row],[NIBR11-T]]&gt;=L$429,0,100*(L$429-Tabell2[[#This Row],[NIBR11-T]])/L$432))</f>
        <v>90</v>
      </c>
      <c r="V179" s="10">
        <f>(M$429-Tabell2[[#This Row],[ReisetidOslo-T]])*100/M$432</f>
        <v>48.433687087469167</v>
      </c>
      <c r="W179" s="10">
        <f>100-(N$429-Tabell2[[#This Row],[Beftettotal-T]])*100/N$432</f>
        <v>74.973429861390571</v>
      </c>
      <c r="X179" s="10">
        <f>100-(O$429-Tabell2[[#This Row],[Befvekst10-T]])*100/O$432</f>
        <v>100</v>
      </c>
      <c r="Y179" s="10">
        <f>100-(P$429-Tabell2[[#This Row],[Kvinneandel-T]])*100/P$432</f>
        <v>100</v>
      </c>
      <c r="Z179" s="10">
        <f>(Q$429-Tabell2[[#This Row],[Eldreandel-T]])*100/Q$432</f>
        <v>100</v>
      </c>
      <c r="AA179" s="10">
        <f>100-(R$429-Tabell2[[#This Row],[Sysselsettingsvekst10-T]])*100/R$432</f>
        <v>62.119429500355807</v>
      </c>
      <c r="AB179" s="10">
        <f>100-(S$429-Tabell2[[#This Row],[Yrkesaktivandel-T]])*100/S$432</f>
        <v>69.266507724656265</v>
      </c>
      <c r="AC179" s="10">
        <f>100-(T$429-Tabell2[[#This Row],[Inntekt-T]])*100/T$432</f>
        <v>100</v>
      </c>
      <c r="AD17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83.479305417387167</v>
      </c>
    </row>
    <row r="180" spans="1:30" x14ac:dyDescent="0.25">
      <c r="A180" s="2" t="s">
        <v>174</v>
      </c>
      <c r="B180" s="2">
        <v>178</v>
      </c>
      <c r="C180">
        <f>'Rådata-K'!N179</f>
        <v>2</v>
      </c>
      <c r="D180" s="30">
        <f>'Rådata-K'!M179</f>
        <v>173.0625</v>
      </c>
      <c r="E180" s="32">
        <f>'Rådata-K'!O179</f>
        <v>19.25952296190815</v>
      </c>
      <c r="F180" s="32">
        <f>'Rådata-K'!P179</f>
        <v>0.23708554204344656</v>
      </c>
      <c r="G180" s="32">
        <f>'Rådata-K'!Q179</f>
        <v>0.14325323475046212</v>
      </c>
      <c r="H180" s="32">
        <f>'Rådata-K'!R179</f>
        <v>8.7464291715678044E-2</v>
      </c>
      <c r="I180" s="32">
        <f>'Rådata-K'!S179</f>
        <v>0.32838909968954821</v>
      </c>
      <c r="J180" s="32">
        <f>'Rådata-K'!T179</f>
        <v>0.88133445945945943</v>
      </c>
      <c r="K180" s="67">
        <f>'Rådata-K'!L179</f>
        <v>454800</v>
      </c>
      <c r="L180" s="18">
        <f>Tabell2[[#This Row],[NIBR11]]</f>
        <v>2</v>
      </c>
      <c r="M180" s="32">
        <f>IF(Tabell2[[#This Row],[ReisetidOslo]]&lt;=D$427,D$427,IF(Tabell2[[#This Row],[ReisetidOslo]]&gt;=D$428,D$428,Tabell2[[#This Row],[ReisetidOslo]]))</f>
        <v>173.0625</v>
      </c>
      <c r="N180" s="32">
        <f>IF(Tabell2[[#This Row],[Beftettotal]]&lt;=E$427,E$427,IF(Tabell2[[#This Row],[Beftettotal]]&gt;=E$428,E$428,Tabell2[[#This Row],[Beftettotal]]))</f>
        <v>19.25952296190815</v>
      </c>
      <c r="O180" s="32">
        <f>IF(Tabell2[[#This Row],[Befvekst10]]&lt;=F$427,F$427,IF(Tabell2[[#This Row],[Befvekst10]]&gt;=F$428,F$428,Tabell2[[#This Row],[Befvekst10]]))</f>
        <v>0.17761328412400704</v>
      </c>
      <c r="P180" s="32">
        <f>IF(Tabell2[[#This Row],[Kvinneandel]]&lt;=G$427,G$427,IF(Tabell2[[#This Row],[Kvinneandel]]&gt;=G$428,G$428,Tabell2[[#This Row],[Kvinneandel]]))</f>
        <v>0.12777681011054584</v>
      </c>
      <c r="Q180" s="32">
        <f>IF(Tabell2[[#This Row],[Eldreandel]]&lt;=H$427,H$427,IF(Tabell2[[#This Row],[Eldreandel]]&gt;=H$428,H$428,Tabell2[[#This Row],[Eldreandel]]))</f>
        <v>0.13032022035982854</v>
      </c>
      <c r="R180" s="32">
        <f>IF(Tabell2[[#This Row],[Sysselsettingsvekst10]]&lt;=I$427,I$427,IF(Tabell2[[#This Row],[Sysselsettingsvekst10]]&gt;=I$428,I$428,Tabell2[[#This Row],[Sysselsettingsvekst10]]))</f>
        <v>0.17904192152607218</v>
      </c>
      <c r="S180" s="32">
        <f>IF(Tabell2[[#This Row],[Yrkesaktivandel]]&lt;=J$427,J$427,IF(Tabell2[[#This Row],[Yrkesaktivandel]]&gt;=J$428,J$428,Tabell2[[#This Row],[Yrkesaktivandel]]))</f>
        <v>0.88133445945945943</v>
      </c>
      <c r="T180" s="67">
        <f>IF(Tabell2[[#This Row],[Inntekt]]&lt;=K$427,K$427,IF(Tabell2[[#This Row],[Inntekt]]&gt;=K$428,K$428,Tabell2[[#This Row],[Inntekt]]))</f>
        <v>449160</v>
      </c>
      <c r="U180" s="10">
        <f>IF(Tabell2[[#This Row],[NIBR11-T]]&lt;=L$430,100,IF(Tabell2[[#This Row],[NIBR11-T]]&gt;=L$429,0,100*(L$429-Tabell2[[#This Row],[NIBR11-T]])/L$432))</f>
        <v>90</v>
      </c>
      <c r="V180" s="10">
        <f>(M$429-Tabell2[[#This Row],[ReisetidOslo-T]])*100/M$432</f>
        <v>48.972228112514692</v>
      </c>
      <c r="W180" s="10">
        <f>100-(N$429-Tabell2[[#This Row],[Beftettotal-T]])*100/N$432</f>
        <v>13.425999463717417</v>
      </c>
      <c r="X180" s="10">
        <f>100-(O$429-Tabell2[[#This Row],[Befvekst10-T]])*100/O$432</f>
        <v>100</v>
      </c>
      <c r="Y180" s="10">
        <f>100-(P$429-Tabell2[[#This Row],[Kvinneandel-T]])*100/P$432</f>
        <v>100</v>
      </c>
      <c r="Z180" s="10">
        <f>(Q$429-Tabell2[[#This Row],[Eldreandel-T]])*100/Q$432</f>
        <v>100</v>
      </c>
      <c r="AA180" s="10">
        <f>100-(R$429-Tabell2[[#This Row],[Sysselsettingsvekst10-T]])*100/R$432</f>
        <v>100</v>
      </c>
      <c r="AB180" s="10">
        <f>100-(S$429-Tabell2[[#This Row],[Yrkesaktivandel-T]])*100/S$432</f>
        <v>65.378510816064306</v>
      </c>
      <c r="AC180" s="10">
        <f>100-(T$429-Tabell2[[#This Row],[Inntekt-T]])*100/T$432</f>
        <v>100</v>
      </c>
      <c r="AD18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80.777673839229649</v>
      </c>
    </row>
    <row r="181" spans="1:30" x14ac:dyDescent="0.25">
      <c r="A181" s="2" t="s">
        <v>175</v>
      </c>
      <c r="B181" s="2">
        <v>179</v>
      </c>
      <c r="C181">
        <f>'Rådata-K'!N180</f>
        <v>2</v>
      </c>
      <c r="D181" s="30">
        <f>'Rådata-K'!M180</f>
        <v>154.625</v>
      </c>
      <c r="E181" s="32">
        <f>'Rådata-K'!O180</f>
        <v>376.82502896871381</v>
      </c>
      <c r="F181" s="32">
        <f>'Rådata-K'!P180</f>
        <v>0.25887931868769964</v>
      </c>
      <c r="G181" s="32">
        <f>'Rådata-K'!Q180</f>
        <v>0.13710793357933579</v>
      </c>
      <c r="H181" s="32">
        <f>'Rådata-K'!R180</f>
        <v>0.10547355473554736</v>
      </c>
      <c r="I181" s="32">
        <f>'Rådata-K'!S180</f>
        <v>0.46079148653142665</v>
      </c>
      <c r="J181" s="32">
        <f>'Rådata-K'!T180</f>
        <v>0.83201277955271569</v>
      </c>
      <c r="K181" s="67">
        <f>'Rådata-K'!L180</f>
        <v>571700</v>
      </c>
      <c r="L181" s="18">
        <f>Tabell2[[#This Row],[NIBR11]]</f>
        <v>2</v>
      </c>
      <c r="M181" s="32">
        <f>IF(Tabell2[[#This Row],[ReisetidOslo]]&lt;=D$427,D$427,IF(Tabell2[[#This Row],[ReisetidOslo]]&gt;=D$428,D$428,Tabell2[[#This Row],[ReisetidOslo]]))</f>
        <v>154.625</v>
      </c>
      <c r="N181" s="32">
        <f>IF(Tabell2[[#This Row],[Beftettotal]]&lt;=E$427,E$427,IF(Tabell2[[#This Row],[Beftettotal]]&gt;=E$428,E$428,Tabell2[[#This Row],[Beftettotal]]))</f>
        <v>135.41854576488009</v>
      </c>
      <c r="O181" s="32">
        <f>IF(Tabell2[[#This Row],[Befvekst10]]&lt;=F$427,F$427,IF(Tabell2[[#This Row],[Befvekst10]]&gt;=F$428,F$428,Tabell2[[#This Row],[Befvekst10]]))</f>
        <v>0.17761328412400704</v>
      </c>
      <c r="P181" s="32">
        <f>IF(Tabell2[[#This Row],[Kvinneandel]]&lt;=G$427,G$427,IF(Tabell2[[#This Row],[Kvinneandel]]&gt;=G$428,G$428,Tabell2[[#This Row],[Kvinneandel]]))</f>
        <v>0.12777681011054584</v>
      </c>
      <c r="Q181" s="32">
        <f>IF(Tabell2[[#This Row],[Eldreandel]]&lt;=H$427,H$427,IF(Tabell2[[#This Row],[Eldreandel]]&gt;=H$428,H$428,Tabell2[[#This Row],[Eldreandel]]))</f>
        <v>0.13032022035982854</v>
      </c>
      <c r="R181" s="32">
        <f>IF(Tabell2[[#This Row],[Sysselsettingsvekst10]]&lt;=I$427,I$427,IF(Tabell2[[#This Row],[Sysselsettingsvekst10]]&gt;=I$428,I$428,Tabell2[[#This Row],[Sysselsettingsvekst10]]))</f>
        <v>0.17904192152607218</v>
      </c>
      <c r="S181" s="32">
        <f>IF(Tabell2[[#This Row],[Yrkesaktivandel]]&lt;=J$427,J$427,IF(Tabell2[[#This Row],[Yrkesaktivandel]]&gt;=J$428,J$428,Tabell2[[#This Row],[Yrkesaktivandel]]))</f>
        <v>0.83201277955271569</v>
      </c>
      <c r="T181" s="67">
        <f>IF(Tabell2[[#This Row],[Inntekt]]&lt;=K$427,K$427,IF(Tabell2[[#This Row],[Inntekt]]&gt;=K$428,K$428,Tabell2[[#This Row],[Inntekt]]))</f>
        <v>449160</v>
      </c>
      <c r="U181" s="10">
        <f>IF(Tabell2[[#This Row],[NIBR11-T]]&lt;=L$430,100,IF(Tabell2[[#This Row],[NIBR11-T]]&gt;=L$429,0,100*(L$429-Tabell2[[#This Row],[NIBR11-T]])/L$432))</f>
        <v>90</v>
      </c>
      <c r="V181" s="10">
        <f>(M$429-Tabell2[[#This Row],[ReisetidOslo-T]])*100/M$432</f>
        <v>56.915708231936165</v>
      </c>
      <c r="W181" s="10">
        <f>100-(N$429-Tabell2[[#This Row],[Beftettotal-T]])*100/N$432</f>
        <v>100</v>
      </c>
      <c r="X181" s="10">
        <f>100-(O$429-Tabell2[[#This Row],[Befvekst10-T]])*100/O$432</f>
        <v>100</v>
      </c>
      <c r="Y181" s="10">
        <f>100-(P$429-Tabell2[[#This Row],[Kvinneandel-T]])*100/P$432</f>
        <v>100</v>
      </c>
      <c r="Z181" s="10">
        <f>(Q$429-Tabell2[[#This Row],[Eldreandel-T]])*100/Q$432</f>
        <v>100</v>
      </c>
      <c r="AA181" s="10">
        <f>100-(R$429-Tabell2[[#This Row],[Sysselsettingsvekst10-T]])*100/R$432</f>
        <v>100</v>
      </c>
      <c r="AB181" s="10">
        <f>100-(S$429-Tabell2[[#This Row],[Yrkesaktivandel-T]])*100/S$432</f>
        <v>27.122452640217801</v>
      </c>
      <c r="AC181" s="10">
        <f>100-(T$429-Tabell2[[#This Row],[Inntekt-T]])*100/T$432</f>
        <v>100</v>
      </c>
      <c r="AD18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86.40381608721539</v>
      </c>
    </row>
    <row r="182" spans="1:30" x14ac:dyDescent="0.25">
      <c r="A182" s="2" t="s">
        <v>176</v>
      </c>
      <c r="B182" s="2">
        <v>180</v>
      </c>
      <c r="C182">
        <f>'Rådata-K'!N181</f>
        <v>2</v>
      </c>
      <c r="D182" s="30">
        <f>'Rådata-K'!M181</f>
        <v>167.90625</v>
      </c>
      <c r="E182" s="32">
        <f>'Rådata-K'!O181</f>
        <v>440.02428166734114</v>
      </c>
      <c r="F182" s="32">
        <f>'Rådata-K'!P181</f>
        <v>0.14440585201557732</v>
      </c>
      <c r="G182" s="32">
        <f>'Rådata-K'!Q181</f>
        <v>0.12406879426101353</v>
      </c>
      <c r="H182" s="32">
        <f>'Rådata-K'!R181</f>
        <v>0.11799871240687942</v>
      </c>
      <c r="I182" s="32">
        <f>'Rådata-K'!S181</f>
        <v>-2.3515579071134662E-2</v>
      </c>
      <c r="J182" s="32">
        <f>'Rådata-K'!T181</f>
        <v>0.84186341308825863</v>
      </c>
      <c r="K182" s="67">
        <f>'Rådata-K'!L181</f>
        <v>526300</v>
      </c>
      <c r="L182" s="18">
        <f>Tabell2[[#This Row],[NIBR11]]</f>
        <v>2</v>
      </c>
      <c r="M182" s="32">
        <f>IF(Tabell2[[#This Row],[ReisetidOslo]]&lt;=D$427,D$427,IF(Tabell2[[#This Row],[ReisetidOslo]]&gt;=D$428,D$428,Tabell2[[#This Row],[ReisetidOslo]]))</f>
        <v>167.90625</v>
      </c>
      <c r="N182" s="32">
        <f>IF(Tabell2[[#This Row],[Beftettotal]]&lt;=E$427,E$427,IF(Tabell2[[#This Row],[Beftettotal]]&gt;=E$428,E$428,Tabell2[[#This Row],[Beftettotal]]))</f>
        <v>135.41854576488009</v>
      </c>
      <c r="O182" s="32">
        <f>IF(Tabell2[[#This Row],[Befvekst10]]&lt;=F$427,F$427,IF(Tabell2[[#This Row],[Befvekst10]]&gt;=F$428,F$428,Tabell2[[#This Row],[Befvekst10]]))</f>
        <v>0.14440585201557732</v>
      </c>
      <c r="P182" s="32">
        <f>IF(Tabell2[[#This Row],[Kvinneandel]]&lt;=G$427,G$427,IF(Tabell2[[#This Row],[Kvinneandel]]&gt;=G$428,G$428,Tabell2[[#This Row],[Kvinneandel]]))</f>
        <v>0.12406879426101353</v>
      </c>
      <c r="Q182" s="32">
        <f>IF(Tabell2[[#This Row],[Eldreandel]]&lt;=H$427,H$427,IF(Tabell2[[#This Row],[Eldreandel]]&gt;=H$428,H$428,Tabell2[[#This Row],[Eldreandel]]))</f>
        <v>0.13032022035982854</v>
      </c>
      <c r="R182" s="32">
        <f>IF(Tabell2[[#This Row],[Sysselsettingsvekst10]]&lt;=I$427,I$427,IF(Tabell2[[#This Row],[Sysselsettingsvekst10]]&gt;=I$428,I$428,Tabell2[[#This Row],[Sysselsettingsvekst10]]))</f>
        <v>-2.3515579071134662E-2</v>
      </c>
      <c r="S182" s="32">
        <f>IF(Tabell2[[#This Row],[Yrkesaktivandel]]&lt;=J$427,J$427,IF(Tabell2[[#This Row],[Yrkesaktivandel]]&gt;=J$428,J$428,Tabell2[[#This Row],[Yrkesaktivandel]]))</f>
        <v>0.84186341308825863</v>
      </c>
      <c r="T182" s="67">
        <f>IF(Tabell2[[#This Row],[Inntekt]]&lt;=K$427,K$427,IF(Tabell2[[#This Row],[Inntekt]]&gt;=K$428,K$428,Tabell2[[#This Row],[Inntekt]]))</f>
        <v>449160</v>
      </c>
      <c r="U182" s="10">
        <f>IF(Tabell2[[#This Row],[NIBR11-T]]&lt;=L$430,100,IF(Tabell2[[#This Row],[NIBR11-T]]&gt;=L$429,0,100*(L$429-Tabell2[[#This Row],[NIBR11-T]])/L$432))</f>
        <v>90</v>
      </c>
      <c r="V182" s="10">
        <f>(M$429-Tabell2[[#This Row],[ReisetidOslo-T]])*100/M$432</f>
        <v>51.193709840827474</v>
      </c>
      <c r="W182" s="10">
        <f>100-(N$429-Tabell2[[#This Row],[Beftettotal-T]])*100/N$432</f>
        <v>100</v>
      </c>
      <c r="X182" s="10">
        <f>100-(O$429-Tabell2[[#This Row],[Befvekst10-T]])*100/O$432</f>
        <v>85.695074905216842</v>
      </c>
      <c r="Y182" s="10">
        <f>100-(P$429-Tabell2[[#This Row],[Kvinneandel-T]])*100/P$432</f>
        <v>90.206005897619249</v>
      </c>
      <c r="Z182" s="10">
        <f>(Q$429-Tabell2[[#This Row],[Eldreandel-T]])*100/Q$432</f>
        <v>100</v>
      </c>
      <c r="AA182" s="10">
        <f>100-(R$429-Tabell2[[#This Row],[Sysselsettingsvekst10-T]])*100/R$432</f>
        <v>29.136446214838728</v>
      </c>
      <c r="AB182" s="10">
        <f>100-(S$429-Tabell2[[#This Row],[Yrkesaktivandel-T]])*100/S$432</f>
        <v>34.763036057433268</v>
      </c>
      <c r="AC182" s="10">
        <f>100-(T$429-Tabell2[[#This Row],[Inntekt-T]])*100/T$432</f>
        <v>100</v>
      </c>
      <c r="AD18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76.158634487234295</v>
      </c>
    </row>
    <row r="183" spans="1:30" x14ac:dyDescent="0.25">
      <c r="A183" s="2" t="s">
        <v>177</v>
      </c>
      <c r="B183" s="2">
        <v>181</v>
      </c>
      <c r="C183">
        <f>'Rådata-K'!N182</f>
        <v>2</v>
      </c>
      <c r="D183" s="30">
        <f>'Rådata-K'!M182</f>
        <v>199.4375</v>
      </c>
      <c r="E183" s="32">
        <f>'Rådata-K'!O182</f>
        <v>1.5960310745327282</v>
      </c>
      <c r="F183" s="32">
        <f>'Rådata-K'!P182</f>
        <v>0.12873980054397105</v>
      </c>
      <c r="G183" s="32">
        <f>'Rådata-K'!Q182</f>
        <v>0.10441767068273092</v>
      </c>
      <c r="H183" s="32">
        <f>'Rådata-K'!R182</f>
        <v>0.14377510040160643</v>
      </c>
      <c r="I183" s="32">
        <f>'Rådata-K'!S182</f>
        <v>9.1085271317829397E-2</v>
      </c>
      <c r="J183" s="32">
        <f>'Rådata-K'!T182</f>
        <v>0.8995502248875562</v>
      </c>
      <c r="K183" s="67">
        <f>'Rådata-K'!L182</f>
        <v>465900</v>
      </c>
      <c r="L183" s="18">
        <f>Tabell2[[#This Row],[NIBR11]]</f>
        <v>2</v>
      </c>
      <c r="M183" s="32">
        <f>IF(Tabell2[[#This Row],[ReisetidOslo]]&lt;=D$427,D$427,IF(Tabell2[[#This Row],[ReisetidOslo]]&gt;=D$428,D$428,Tabell2[[#This Row],[ReisetidOslo]]))</f>
        <v>199.4375</v>
      </c>
      <c r="N183" s="32">
        <f>IF(Tabell2[[#This Row],[Beftettotal]]&lt;=E$427,E$427,IF(Tabell2[[#This Row],[Beftettotal]]&gt;=E$428,E$428,Tabell2[[#This Row],[Beftettotal]]))</f>
        <v>1.5960310745327282</v>
      </c>
      <c r="O183" s="32">
        <f>IF(Tabell2[[#This Row],[Befvekst10]]&lt;=F$427,F$427,IF(Tabell2[[#This Row],[Befvekst10]]&gt;=F$428,F$428,Tabell2[[#This Row],[Befvekst10]]))</f>
        <v>0.12873980054397105</v>
      </c>
      <c r="P183" s="32">
        <f>IF(Tabell2[[#This Row],[Kvinneandel]]&lt;=G$427,G$427,IF(Tabell2[[#This Row],[Kvinneandel]]&gt;=G$428,G$428,Tabell2[[#This Row],[Kvinneandel]]))</f>
        <v>0.10441767068273092</v>
      </c>
      <c r="Q183" s="32">
        <f>IF(Tabell2[[#This Row],[Eldreandel]]&lt;=H$427,H$427,IF(Tabell2[[#This Row],[Eldreandel]]&gt;=H$428,H$428,Tabell2[[#This Row],[Eldreandel]]))</f>
        <v>0.14377510040160643</v>
      </c>
      <c r="R183" s="32">
        <f>IF(Tabell2[[#This Row],[Sysselsettingsvekst10]]&lt;=I$427,I$427,IF(Tabell2[[#This Row],[Sysselsettingsvekst10]]&gt;=I$428,I$428,Tabell2[[#This Row],[Sysselsettingsvekst10]]))</f>
        <v>9.1085271317829397E-2</v>
      </c>
      <c r="S183" s="32">
        <f>IF(Tabell2[[#This Row],[Yrkesaktivandel]]&lt;=J$427,J$427,IF(Tabell2[[#This Row],[Yrkesaktivandel]]&gt;=J$428,J$428,Tabell2[[#This Row],[Yrkesaktivandel]]))</f>
        <v>0.8995502248875562</v>
      </c>
      <c r="T183" s="67">
        <f>IF(Tabell2[[#This Row],[Inntekt]]&lt;=K$427,K$427,IF(Tabell2[[#This Row],[Inntekt]]&gt;=K$428,K$428,Tabell2[[#This Row],[Inntekt]]))</f>
        <v>449160</v>
      </c>
      <c r="U183" s="10">
        <f>IF(Tabell2[[#This Row],[NIBR11-T]]&lt;=L$430,100,IF(Tabell2[[#This Row],[NIBR11-T]]&gt;=L$429,0,100*(L$429-Tabell2[[#This Row],[NIBR11-T]])/L$432))</f>
        <v>90</v>
      </c>
      <c r="V183" s="10">
        <f>(M$429-Tabell2[[#This Row],[ReisetidOslo-T]])*100/M$432</f>
        <v>37.609012484054148</v>
      </c>
      <c r="W183" s="10">
        <f>100-(N$429-Tabell2[[#This Row],[Beftettotal-T]])*100/N$432</f>
        <v>0.26129542928285332</v>
      </c>
      <c r="X183" s="10">
        <f>100-(O$429-Tabell2[[#This Row],[Befvekst10-T]])*100/O$432</f>
        <v>78.94653463565902</v>
      </c>
      <c r="Y183" s="10">
        <f>100-(P$429-Tabell2[[#This Row],[Kvinneandel-T]])*100/P$432</f>
        <v>38.301430447886403</v>
      </c>
      <c r="Z183" s="10">
        <f>(Q$429-Tabell2[[#This Row],[Eldreandel-T]])*100/Q$432</f>
        <v>85.487401298141151</v>
      </c>
      <c r="AA183" s="10">
        <f>100-(R$429-Tabell2[[#This Row],[Sysselsettingsvekst10-T]])*100/R$432</f>
        <v>69.228881703132657</v>
      </c>
      <c r="AB183" s="10">
        <f>100-(S$429-Tabell2[[#This Row],[Yrkesaktivandel-T]])*100/S$432</f>
        <v>79.507457422352985</v>
      </c>
      <c r="AC183" s="10">
        <f>100-(T$429-Tabell2[[#This Row],[Inntekt-T]])*100/T$432</f>
        <v>100</v>
      </c>
      <c r="AD18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68.63941321831544</v>
      </c>
    </row>
    <row r="184" spans="1:30" x14ac:dyDescent="0.25">
      <c r="A184" s="2" t="s">
        <v>178</v>
      </c>
      <c r="B184" s="2">
        <v>182</v>
      </c>
      <c r="C184">
        <f>'Rådata-K'!N183</f>
        <v>2</v>
      </c>
      <c r="D184" s="30">
        <f>'Rådata-K'!M183</f>
        <v>211.125</v>
      </c>
      <c r="E184" s="32">
        <f>'Rådata-K'!O183</f>
        <v>58.045292014302738</v>
      </c>
      <c r="F184" s="32">
        <f>'Rådata-K'!P183</f>
        <v>0.18847381265252494</v>
      </c>
      <c r="G184" s="32">
        <f>'Rådata-K'!Q183</f>
        <v>0.12446690886115938</v>
      </c>
      <c r="H184" s="32">
        <f>'Rådata-K'!R183</f>
        <v>0.13062707313220659</v>
      </c>
      <c r="I184" s="32">
        <f>'Rådata-K'!S183</f>
        <v>0.11272141706924321</v>
      </c>
      <c r="J184" s="32">
        <f>'Rådata-K'!T183</f>
        <v>0.83918046589952289</v>
      </c>
      <c r="K184" s="67">
        <f>'Rådata-K'!L183</f>
        <v>447800</v>
      </c>
      <c r="L184" s="18">
        <f>Tabell2[[#This Row],[NIBR11]]</f>
        <v>2</v>
      </c>
      <c r="M184" s="32">
        <f>IF(Tabell2[[#This Row],[ReisetidOslo]]&lt;=D$427,D$427,IF(Tabell2[[#This Row],[ReisetidOslo]]&gt;=D$428,D$428,Tabell2[[#This Row],[ReisetidOslo]]))</f>
        <v>211.125</v>
      </c>
      <c r="N184" s="32">
        <f>IF(Tabell2[[#This Row],[Beftettotal]]&lt;=E$427,E$427,IF(Tabell2[[#This Row],[Beftettotal]]&gt;=E$428,E$428,Tabell2[[#This Row],[Beftettotal]]))</f>
        <v>58.045292014302738</v>
      </c>
      <c r="O184" s="32">
        <f>IF(Tabell2[[#This Row],[Befvekst10]]&lt;=F$427,F$427,IF(Tabell2[[#This Row],[Befvekst10]]&gt;=F$428,F$428,Tabell2[[#This Row],[Befvekst10]]))</f>
        <v>0.17761328412400704</v>
      </c>
      <c r="P184" s="32">
        <f>IF(Tabell2[[#This Row],[Kvinneandel]]&lt;=G$427,G$427,IF(Tabell2[[#This Row],[Kvinneandel]]&gt;=G$428,G$428,Tabell2[[#This Row],[Kvinneandel]]))</f>
        <v>0.12446690886115938</v>
      </c>
      <c r="Q184" s="32">
        <f>IF(Tabell2[[#This Row],[Eldreandel]]&lt;=H$427,H$427,IF(Tabell2[[#This Row],[Eldreandel]]&gt;=H$428,H$428,Tabell2[[#This Row],[Eldreandel]]))</f>
        <v>0.13062707313220659</v>
      </c>
      <c r="R184" s="32">
        <f>IF(Tabell2[[#This Row],[Sysselsettingsvekst10]]&lt;=I$427,I$427,IF(Tabell2[[#This Row],[Sysselsettingsvekst10]]&gt;=I$428,I$428,Tabell2[[#This Row],[Sysselsettingsvekst10]]))</f>
        <v>0.11272141706924321</v>
      </c>
      <c r="S184" s="32">
        <f>IF(Tabell2[[#This Row],[Yrkesaktivandel]]&lt;=J$427,J$427,IF(Tabell2[[#This Row],[Yrkesaktivandel]]&gt;=J$428,J$428,Tabell2[[#This Row],[Yrkesaktivandel]]))</f>
        <v>0.83918046589952289</v>
      </c>
      <c r="T184" s="67">
        <f>IF(Tabell2[[#This Row],[Inntekt]]&lt;=K$427,K$427,IF(Tabell2[[#This Row],[Inntekt]]&gt;=K$428,K$428,Tabell2[[#This Row],[Inntekt]]))</f>
        <v>447800</v>
      </c>
      <c r="U184" s="10">
        <f>IF(Tabell2[[#This Row],[NIBR11-T]]&lt;=L$430,100,IF(Tabell2[[#This Row],[NIBR11-T]]&gt;=L$429,0,100*(L$429-Tabell2[[#This Row],[NIBR11-T]])/L$432))</f>
        <v>90</v>
      </c>
      <c r="V184" s="10">
        <f>(M$429-Tabell2[[#This Row],[ReisetidOslo-T]])*100/M$432</f>
        <v>32.573653899878508</v>
      </c>
      <c r="W184" s="10">
        <f>100-(N$429-Tabell2[[#This Row],[Beftettotal-T]])*100/N$432</f>
        <v>42.333260472943387</v>
      </c>
      <c r="X184" s="10">
        <f>100-(O$429-Tabell2[[#This Row],[Befvekst10-T]])*100/O$432</f>
        <v>100</v>
      </c>
      <c r="Y184" s="10">
        <f>100-(P$429-Tabell2[[#This Row],[Kvinneandel-T]])*100/P$432</f>
        <v>91.257547262091023</v>
      </c>
      <c r="Z184" s="10">
        <f>(Q$429-Tabell2[[#This Row],[Eldreandel-T]])*100/Q$432</f>
        <v>99.669024834688386</v>
      </c>
      <c r="AA184" s="10">
        <f>100-(R$429-Tabell2[[#This Row],[Sysselsettingsvekst10-T]])*100/R$432</f>
        <v>76.798160419736476</v>
      </c>
      <c r="AB184" s="10">
        <f>100-(S$429-Tabell2[[#This Row],[Yrkesaktivandel-T]])*100/S$432</f>
        <v>32.682024544259633</v>
      </c>
      <c r="AC184" s="10">
        <f>100-(T$429-Tabell2[[#This Row],[Inntekt-T]])*100/T$432</f>
        <v>98.489392424747308</v>
      </c>
      <c r="AD18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75.833977780995497</v>
      </c>
    </row>
    <row r="185" spans="1:30" x14ac:dyDescent="0.25">
      <c r="A185" s="2" t="s">
        <v>179</v>
      </c>
      <c r="B185" s="2">
        <v>183</v>
      </c>
      <c r="C185">
        <f>'Rådata-K'!N184</f>
        <v>11</v>
      </c>
      <c r="D185" s="30">
        <f>'Rådata-K'!M184</f>
        <v>254.15625</v>
      </c>
      <c r="E185" s="32">
        <f>'Rådata-K'!O184</f>
        <v>2.4870961224077441</v>
      </c>
      <c r="F185" s="32">
        <f>'Rådata-K'!P184</f>
        <v>3.6941263391199186E-4</v>
      </c>
      <c r="G185" s="32">
        <f>'Rådata-K'!Q184</f>
        <v>0.10376661742983752</v>
      </c>
      <c r="H185" s="32">
        <f>'Rådata-K'!R184</f>
        <v>0.17355982274741508</v>
      </c>
      <c r="I185" s="32">
        <f>'Rådata-K'!S184</f>
        <v>-0.13546630360789658</v>
      </c>
      <c r="J185" s="32">
        <f>'Rådata-K'!T184</f>
        <v>0.96897038081805364</v>
      </c>
      <c r="K185" s="67">
        <f>'Rådata-K'!L184</f>
        <v>448800</v>
      </c>
      <c r="L185" s="18">
        <f>Tabell2[[#This Row],[NIBR11]]</f>
        <v>11</v>
      </c>
      <c r="M185" s="32">
        <f>IF(Tabell2[[#This Row],[ReisetidOslo]]&lt;=D$427,D$427,IF(Tabell2[[#This Row],[ReisetidOslo]]&gt;=D$428,D$428,Tabell2[[#This Row],[ReisetidOslo]]))</f>
        <v>254.15625</v>
      </c>
      <c r="N185" s="32">
        <f>IF(Tabell2[[#This Row],[Beftettotal]]&lt;=E$427,E$427,IF(Tabell2[[#This Row],[Beftettotal]]&gt;=E$428,E$428,Tabell2[[#This Row],[Beftettotal]]))</f>
        <v>2.4870961224077441</v>
      </c>
      <c r="O185" s="32">
        <f>IF(Tabell2[[#This Row],[Befvekst10]]&lt;=F$427,F$427,IF(Tabell2[[#This Row],[Befvekst10]]&gt;=F$428,F$428,Tabell2[[#This Row],[Befvekst10]]))</f>
        <v>3.6941263391199186E-4</v>
      </c>
      <c r="P185" s="32">
        <f>IF(Tabell2[[#This Row],[Kvinneandel]]&lt;=G$427,G$427,IF(Tabell2[[#This Row],[Kvinneandel]]&gt;=G$428,G$428,Tabell2[[#This Row],[Kvinneandel]]))</f>
        <v>0.10376661742983752</v>
      </c>
      <c r="Q185" s="32">
        <f>IF(Tabell2[[#This Row],[Eldreandel]]&lt;=H$427,H$427,IF(Tabell2[[#This Row],[Eldreandel]]&gt;=H$428,H$428,Tabell2[[#This Row],[Eldreandel]]))</f>
        <v>0.17355982274741508</v>
      </c>
      <c r="R185" s="32">
        <f>IF(Tabell2[[#This Row],[Sysselsettingsvekst10]]&lt;=I$427,I$427,IF(Tabell2[[#This Row],[Sysselsettingsvekst10]]&gt;=I$428,I$428,Tabell2[[#This Row],[Sysselsettingsvekst10]]))</f>
        <v>-0.10679965679965678</v>
      </c>
      <c r="S185" s="32">
        <f>IF(Tabell2[[#This Row],[Yrkesaktivandel]]&lt;=J$427,J$427,IF(Tabell2[[#This Row],[Yrkesaktivandel]]&gt;=J$428,J$428,Tabell2[[#This Row],[Yrkesaktivandel]]))</f>
        <v>0.92597026588718434</v>
      </c>
      <c r="T185" s="67">
        <f>IF(Tabell2[[#This Row],[Inntekt]]&lt;=K$427,K$427,IF(Tabell2[[#This Row],[Inntekt]]&gt;=K$428,K$428,Tabell2[[#This Row],[Inntekt]]))</f>
        <v>448800</v>
      </c>
      <c r="U185" s="10">
        <f>IF(Tabell2[[#This Row],[NIBR11-T]]&lt;=L$430,100,IF(Tabell2[[#This Row],[NIBR11-T]]&gt;=L$429,0,100*(L$429-Tabell2[[#This Row],[NIBR11-T]])/L$432))</f>
        <v>0</v>
      </c>
      <c r="V185" s="10">
        <f>(M$429-Tabell2[[#This Row],[ReisetidOslo-T]])*100/M$432</f>
        <v>14.034379112686361</v>
      </c>
      <c r="W185" s="10">
        <f>100-(N$429-Tabell2[[#This Row],[Beftettotal-T]])*100/N$432</f>
        <v>0.92541143225096789</v>
      </c>
      <c r="X185" s="10">
        <f>100-(O$429-Tabell2[[#This Row],[Befvekst10-T]])*100/O$432</f>
        <v>23.64780580153456</v>
      </c>
      <c r="Y185" s="10">
        <f>100-(P$429-Tabell2[[#This Row],[Kvinneandel-T]])*100/P$432</f>
        <v>36.581801412326051</v>
      </c>
      <c r="Z185" s="10">
        <f>(Q$429-Tabell2[[#This Row],[Eldreandel-T]])*100/Q$432</f>
        <v>53.361234323122041</v>
      </c>
      <c r="AA185" s="10">
        <f>100-(R$429-Tabell2[[#This Row],[Sysselsettingsvekst10-T]])*100/R$432</f>
        <v>0</v>
      </c>
      <c r="AB185" s="10">
        <f>100-(S$429-Tabell2[[#This Row],[Yrkesaktivandel-T]])*100/S$432</f>
        <v>100</v>
      </c>
      <c r="AC185" s="10">
        <f>100-(T$429-Tabell2[[#This Row],[Inntekt-T]])*100/T$432</f>
        <v>99.600133288903692</v>
      </c>
      <c r="AD18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30.682705330463421</v>
      </c>
    </row>
    <row r="186" spans="1:30" x14ac:dyDescent="0.25">
      <c r="A186" s="2" t="s">
        <v>180</v>
      </c>
      <c r="B186" s="2">
        <v>184</v>
      </c>
      <c r="C186">
        <f>'Rådata-K'!N185</f>
        <v>10</v>
      </c>
      <c r="D186" s="30">
        <f>'Rådata-K'!M185</f>
        <v>252.125</v>
      </c>
      <c r="E186" s="32">
        <f>'Rådata-K'!O185</f>
        <v>2.2183327671873294</v>
      </c>
      <c r="F186" s="32">
        <f>'Rådata-K'!P185</f>
        <v>-5.4207537429014074E-3</v>
      </c>
      <c r="G186" s="32">
        <f>'Rådata-K'!Q185</f>
        <v>0.10718920321827148</v>
      </c>
      <c r="H186" s="32">
        <f>'Rådata-K'!R185</f>
        <v>0.17544770308850247</v>
      </c>
      <c r="I186" s="32">
        <f>'Rådata-K'!S185</f>
        <v>0.20218579234972678</v>
      </c>
      <c r="J186" s="32">
        <f>'Rådata-K'!T185</f>
        <v>0.95304264494489699</v>
      </c>
      <c r="K186" s="67">
        <f>'Rådata-K'!L185</f>
        <v>409900</v>
      </c>
      <c r="L186" s="18">
        <f>Tabell2[[#This Row],[NIBR11]]</f>
        <v>10</v>
      </c>
      <c r="M186" s="32">
        <f>IF(Tabell2[[#This Row],[ReisetidOslo]]&lt;=D$427,D$427,IF(Tabell2[[#This Row],[ReisetidOslo]]&gt;=D$428,D$428,Tabell2[[#This Row],[ReisetidOslo]]))</f>
        <v>252.125</v>
      </c>
      <c r="N186" s="32">
        <f>IF(Tabell2[[#This Row],[Beftettotal]]&lt;=E$427,E$427,IF(Tabell2[[#This Row],[Beftettotal]]&gt;=E$428,E$428,Tabell2[[#This Row],[Beftettotal]]))</f>
        <v>2.2183327671873294</v>
      </c>
      <c r="O186" s="32">
        <f>IF(Tabell2[[#This Row],[Befvekst10]]&lt;=F$427,F$427,IF(Tabell2[[#This Row],[Befvekst10]]&gt;=F$428,F$428,Tabell2[[#This Row],[Befvekst10]]))</f>
        <v>-5.4207537429014074E-3</v>
      </c>
      <c r="P186" s="32">
        <f>IF(Tabell2[[#This Row],[Kvinneandel]]&lt;=G$427,G$427,IF(Tabell2[[#This Row],[Kvinneandel]]&gt;=G$428,G$428,Tabell2[[#This Row],[Kvinneandel]]))</f>
        <v>0.10718920321827148</v>
      </c>
      <c r="Q186" s="32">
        <f>IF(Tabell2[[#This Row],[Eldreandel]]&lt;=H$427,H$427,IF(Tabell2[[#This Row],[Eldreandel]]&gt;=H$428,H$428,Tabell2[[#This Row],[Eldreandel]]))</f>
        <v>0.17544770308850247</v>
      </c>
      <c r="R186" s="32">
        <f>IF(Tabell2[[#This Row],[Sysselsettingsvekst10]]&lt;=I$427,I$427,IF(Tabell2[[#This Row],[Sysselsettingsvekst10]]&gt;=I$428,I$428,Tabell2[[#This Row],[Sysselsettingsvekst10]]))</f>
        <v>0.17904192152607218</v>
      </c>
      <c r="S186" s="32">
        <f>IF(Tabell2[[#This Row],[Yrkesaktivandel]]&lt;=J$427,J$427,IF(Tabell2[[#This Row],[Yrkesaktivandel]]&gt;=J$428,J$428,Tabell2[[#This Row],[Yrkesaktivandel]]))</f>
        <v>0.92597026588718434</v>
      </c>
      <c r="T186" s="67">
        <f>IF(Tabell2[[#This Row],[Inntekt]]&lt;=K$427,K$427,IF(Tabell2[[#This Row],[Inntekt]]&gt;=K$428,K$428,Tabell2[[#This Row],[Inntekt]]))</f>
        <v>409900</v>
      </c>
      <c r="U186" s="10">
        <f>IF(Tabell2[[#This Row],[NIBR11-T]]&lt;=L$430,100,IF(Tabell2[[#This Row],[NIBR11-T]]&gt;=L$429,0,100*(L$429-Tabell2[[#This Row],[NIBR11-T]])/L$432))</f>
        <v>10</v>
      </c>
      <c r="V186" s="10">
        <f>(M$429-Tabell2[[#This Row],[ReisetidOslo-T]])*100/M$432</f>
        <v>14.909508278385337</v>
      </c>
      <c r="W186" s="10">
        <f>100-(N$429-Tabell2[[#This Row],[Beftettotal-T]])*100/N$432</f>
        <v>0.72510052830637051</v>
      </c>
      <c r="X186" s="10">
        <f>100-(O$429-Tabell2[[#This Row],[Befvekst10-T]])*100/O$432</f>
        <v>21.153548008995955</v>
      </c>
      <c r="Y186" s="10">
        <f>100-(P$429-Tabell2[[#This Row],[Kvinneandel-T]])*100/P$432</f>
        <v>45.621888183002163</v>
      </c>
      <c r="Z186" s="10">
        <f>(Q$429-Tabell2[[#This Row],[Eldreandel-T]])*100/Q$432</f>
        <v>51.324943423295529</v>
      </c>
      <c r="AA186" s="10">
        <f>100-(R$429-Tabell2[[#This Row],[Sysselsettingsvekst10-T]])*100/R$432</f>
        <v>100</v>
      </c>
      <c r="AB186" s="10">
        <f>100-(S$429-Tabell2[[#This Row],[Yrkesaktivandel-T]])*100/S$432</f>
        <v>100</v>
      </c>
      <c r="AC186" s="10">
        <f>100-(T$429-Tabell2[[#This Row],[Inntekt-T]])*100/T$432</f>
        <v>56.392313673220038</v>
      </c>
      <c r="AD18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38.280743430105254</v>
      </c>
    </row>
    <row r="187" spans="1:30" x14ac:dyDescent="0.25">
      <c r="A187" s="2" t="s">
        <v>181</v>
      </c>
      <c r="B187" s="2">
        <v>185</v>
      </c>
      <c r="C187">
        <f>'Rådata-K'!N186</f>
        <v>9</v>
      </c>
      <c r="D187" s="30">
        <f>'Rådata-K'!M186</f>
        <v>250.375</v>
      </c>
      <c r="E187" s="32">
        <f>'Rådata-K'!O186</f>
        <v>8.71284229023283</v>
      </c>
      <c r="F187" s="32">
        <f>'Rådata-K'!P186</f>
        <v>5.9171597633136397E-3</v>
      </c>
      <c r="G187" s="32">
        <f>'Rådata-K'!Q186</f>
        <v>0.11428571428571428</v>
      </c>
      <c r="H187" s="32">
        <f>'Rådata-K'!R186</f>
        <v>0.18130252100840336</v>
      </c>
      <c r="I187" s="32">
        <f>'Rådata-K'!S186</f>
        <v>-5.0589390962671898E-2</v>
      </c>
      <c r="J187" s="32">
        <f>'Rådata-K'!T186</f>
        <v>0.84282460136674264</v>
      </c>
      <c r="K187" s="67">
        <f>'Rådata-K'!L186</f>
        <v>411100</v>
      </c>
      <c r="L187" s="18">
        <f>Tabell2[[#This Row],[NIBR11]]</f>
        <v>9</v>
      </c>
      <c r="M187" s="32">
        <f>IF(Tabell2[[#This Row],[ReisetidOslo]]&lt;=D$427,D$427,IF(Tabell2[[#This Row],[ReisetidOslo]]&gt;=D$428,D$428,Tabell2[[#This Row],[ReisetidOslo]]))</f>
        <v>250.375</v>
      </c>
      <c r="N187" s="32">
        <f>IF(Tabell2[[#This Row],[Beftettotal]]&lt;=E$427,E$427,IF(Tabell2[[#This Row],[Beftettotal]]&gt;=E$428,E$428,Tabell2[[#This Row],[Beftettotal]]))</f>
        <v>8.71284229023283</v>
      </c>
      <c r="O187" s="32">
        <f>IF(Tabell2[[#This Row],[Befvekst10]]&lt;=F$427,F$427,IF(Tabell2[[#This Row],[Befvekst10]]&gt;=F$428,F$428,Tabell2[[#This Row],[Befvekst10]]))</f>
        <v>5.9171597633136397E-3</v>
      </c>
      <c r="P187" s="32">
        <f>IF(Tabell2[[#This Row],[Kvinneandel]]&lt;=G$427,G$427,IF(Tabell2[[#This Row],[Kvinneandel]]&gt;=G$428,G$428,Tabell2[[#This Row],[Kvinneandel]]))</f>
        <v>0.11428571428571428</v>
      </c>
      <c r="Q187" s="32">
        <f>IF(Tabell2[[#This Row],[Eldreandel]]&lt;=H$427,H$427,IF(Tabell2[[#This Row],[Eldreandel]]&gt;=H$428,H$428,Tabell2[[#This Row],[Eldreandel]]))</f>
        <v>0.18130252100840336</v>
      </c>
      <c r="R187" s="32">
        <f>IF(Tabell2[[#This Row],[Sysselsettingsvekst10]]&lt;=I$427,I$427,IF(Tabell2[[#This Row],[Sysselsettingsvekst10]]&gt;=I$428,I$428,Tabell2[[#This Row],[Sysselsettingsvekst10]]))</f>
        <v>-5.0589390962671898E-2</v>
      </c>
      <c r="S187" s="32">
        <f>IF(Tabell2[[#This Row],[Yrkesaktivandel]]&lt;=J$427,J$427,IF(Tabell2[[#This Row],[Yrkesaktivandel]]&gt;=J$428,J$428,Tabell2[[#This Row],[Yrkesaktivandel]]))</f>
        <v>0.84282460136674264</v>
      </c>
      <c r="T187" s="67">
        <f>IF(Tabell2[[#This Row],[Inntekt]]&lt;=K$427,K$427,IF(Tabell2[[#This Row],[Inntekt]]&gt;=K$428,K$428,Tabell2[[#This Row],[Inntekt]]))</f>
        <v>411100</v>
      </c>
      <c r="U187" s="10">
        <f>IF(Tabell2[[#This Row],[NIBR11-T]]&lt;=L$430,100,IF(Tabell2[[#This Row],[NIBR11-T]]&gt;=L$429,0,100*(L$429-Tabell2[[#This Row],[NIBR11-T]])/L$432))</f>
        <v>20</v>
      </c>
      <c r="V187" s="10">
        <f>(M$429-Tabell2[[#This Row],[ReisetidOslo-T]])*100/M$432</f>
        <v>15.663465713449069</v>
      </c>
      <c r="W187" s="10">
        <f>100-(N$429-Tabell2[[#This Row],[Beftettotal-T]])*100/N$432</f>
        <v>5.5654965420084466</v>
      </c>
      <c r="X187" s="10">
        <f>100-(O$429-Tabell2[[#This Row],[Befvekst10-T]])*100/O$432</f>
        <v>26.03763549001394</v>
      </c>
      <c r="Y187" s="10">
        <f>100-(P$429-Tabell2[[#This Row],[Kvinneandel-T]])*100/P$432</f>
        <v>64.365925523290457</v>
      </c>
      <c r="Z187" s="10">
        <f>(Q$429-Tabell2[[#This Row],[Eldreandel-T]])*100/Q$432</f>
        <v>45.009864977397619</v>
      </c>
      <c r="AA187" s="10">
        <f>100-(R$429-Tabell2[[#This Row],[Sysselsettingsvekst10-T]])*100/R$432</f>
        <v>19.66483188562961</v>
      </c>
      <c r="AB187" s="10">
        <f>100-(S$429-Tabell2[[#This Row],[Yrkesaktivandel-T]])*100/S$432</f>
        <v>35.508575843773727</v>
      </c>
      <c r="AC187" s="10">
        <f>100-(T$429-Tabell2[[#This Row],[Inntekt-T]])*100/T$432</f>
        <v>57.725202710207711</v>
      </c>
      <c r="AD18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28.089073892544047</v>
      </c>
    </row>
    <row r="188" spans="1:30" x14ac:dyDescent="0.25">
      <c r="A188" s="2" t="s">
        <v>182</v>
      </c>
      <c r="B188" s="2">
        <v>186</v>
      </c>
      <c r="C188">
        <f>'Rådata-K'!N187</f>
        <v>2</v>
      </c>
      <c r="D188" s="30">
        <f>'Rådata-K'!M187</f>
        <v>194.21875</v>
      </c>
      <c r="E188" s="32">
        <f>'Rådata-K'!O187</f>
        <v>30.989558386818661</v>
      </c>
      <c r="F188" s="32">
        <f>'Rådata-K'!P187</f>
        <v>0.21070359281437123</v>
      </c>
      <c r="G188" s="32">
        <f>'Rådata-K'!Q187</f>
        <v>0.12457496136012365</v>
      </c>
      <c r="H188" s="32">
        <f>'Rådata-K'!R187</f>
        <v>0.14404945904173105</v>
      </c>
      <c r="I188" s="32">
        <f>'Rådata-K'!S187</f>
        <v>5.2631578947368363E-2</v>
      </c>
      <c r="J188" s="32">
        <f>'Rådata-K'!T187</f>
        <v>0.92586580086580084</v>
      </c>
      <c r="K188" s="67">
        <f>'Rådata-K'!L187</f>
        <v>455800</v>
      </c>
      <c r="L188" s="18">
        <f>Tabell2[[#This Row],[NIBR11]]</f>
        <v>2</v>
      </c>
      <c r="M188" s="32">
        <f>IF(Tabell2[[#This Row],[ReisetidOslo]]&lt;=D$427,D$427,IF(Tabell2[[#This Row],[ReisetidOslo]]&gt;=D$428,D$428,Tabell2[[#This Row],[ReisetidOslo]]))</f>
        <v>194.21875</v>
      </c>
      <c r="N188" s="32">
        <f>IF(Tabell2[[#This Row],[Beftettotal]]&lt;=E$427,E$427,IF(Tabell2[[#This Row],[Beftettotal]]&gt;=E$428,E$428,Tabell2[[#This Row],[Beftettotal]]))</f>
        <v>30.989558386818661</v>
      </c>
      <c r="O188" s="32">
        <f>IF(Tabell2[[#This Row],[Befvekst10]]&lt;=F$427,F$427,IF(Tabell2[[#This Row],[Befvekst10]]&gt;=F$428,F$428,Tabell2[[#This Row],[Befvekst10]]))</f>
        <v>0.17761328412400704</v>
      </c>
      <c r="P188" s="32">
        <f>IF(Tabell2[[#This Row],[Kvinneandel]]&lt;=G$427,G$427,IF(Tabell2[[#This Row],[Kvinneandel]]&gt;=G$428,G$428,Tabell2[[#This Row],[Kvinneandel]]))</f>
        <v>0.12457496136012365</v>
      </c>
      <c r="Q188" s="32">
        <f>IF(Tabell2[[#This Row],[Eldreandel]]&lt;=H$427,H$427,IF(Tabell2[[#This Row],[Eldreandel]]&gt;=H$428,H$428,Tabell2[[#This Row],[Eldreandel]]))</f>
        <v>0.14404945904173105</v>
      </c>
      <c r="R188" s="32">
        <f>IF(Tabell2[[#This Row],[Sysselsettingsvekst10]]&lt;=I$427,I$427,IF(Tabell2[[#This Row],[Sysselsettingsvekst10]]&gt;=I$428,I$428,Tabell2[[#This Row],[Sysselsettingsvekst10]]))</f>
        <v>5.2631578947368363E-2</v>
      </c>
      <c r="S188" s="32">
        <f>IF(Tabell2[[#This Row],[Yrkesaktivandel]]&lt;=J$427,J$427,IF(Tabell2[[#This Row],[Yrkesaktivandel]]&gt;=J$428,J$428,Tabell2[[#This Row],[Yrkesaktivandel]]))</f>
        <v>0.92586580086580084</v>
      </c>
      <c r="T188" s="67">
        <f>IF(Tabell2[[#This Row],[Inntekt]]&lt;=K$427,K$427,IF(Tabell2[[#This Row],[Inntekt]]&gt;=K$428,K$428,Tabell2[[#This Row],[Inntekt]]))</f>
        <v>449160</v>
      </c>
      <c r="U188" s="10">
        <f>IF(Tabell2[[#This Row],[NIBR11-T]]&lt;=L$430,100,IF(Tabell2[[#This Row],[NIBR11-T]]&gt;=L$429,0,100*(L$429-Tabell2[[#This Row],[NIBR11-T]])/L$432))</f>
        <v>90</v>
      </c>
      <c r="V188" s="10">
        <f>(M$429-Tabell2[[#This Row],[ReisetidOslo-T]])*100/M$432</f>
        <v>39.857421263619209</v>
      </c>
      <c r="W188" s="10">
        <f>100-(N$429-Tabell2[[#This Row],[Beftettotal-T]])*100/N$432</f>
        <v>22.168463618992959</v>
      </c>
      <c r="X188" s="10">
        <f>100-(O$429-Tabell2[[#This Row],[Befvekst10-T]])*100/O$432</f>
        <v>100</v>
      </c>
      <c r="Y188" s="10">
        <f>100-(P$429-Tabell2[[#This Row],[Kvinneandel-T]])*100/P$432</f>
        <v>91.542946672597054</v>
      </c>
      <c r="Z188" s="10">
        <f>(Q$429-Tabell2[[#This Row],[Eldreandel-T]])*100/Q$432</f>
        <v>85.191474702574851</v>
      </c>
      <c r="AA188" s="10">
        <f>100-(R$429-Tabell2[[#This Row],[Sysselsettingsvekst10-T]])*100/R$432</f>
        <v>55.776082920080398</v>
      </c>
      <c r="AB188" s="10">
        <f>100-(S$429-Tabell2[[#This Row],[Yrkesaktivandel-T]])*100/S$432</f>
        <v>99.91897234759756</v>
      </c>
      <c r="AC188" s="10">
        <f>100-(T$429-Tabell2[[#This Row],[Inntekt-T]])*100/T$432</f>
        <v>100</v>
      </c>
      <c r="AD18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78.608815083787604</v>
      </c>
    </row>
    <row r="189" spans="1:30" x14ac:dyDescent="0.25">
      <c r="A189" s="2" t="s">
        <v>183</v>
      </c>
      <c r="B189" s="2">
        <v>187</v>
      </c>
      <c r="C189">
        <f>'Rådata-K'!N188</f>
        <v>2</v>
      </c>
      <c r="D189" s="30">
        <f>'Rådata-K'!M188</f>
        <v>181.59375</v>
      </c>
      <c r="E189" s="32">
        <f>'Rådata-K'!O188</f>
        <v>74.67562204243626</v>
      </c>
      <c r="F189" s="32">
        <f>'Rådata-K'!P188</f>
        <v>0.38740782756664771</v>
      </c>
      <c r="G189" s="32">
        <f>'Rådata-K'!Q188</f>
        <v>0.12162714636140638</v>
      </c>
      <c r="H189" s="32">
        <f>'Rådata-K'!R188</f>
        <v>0.10220768601798855</v>
      </c>
      <c r="I189" s="32">
        <f>'Rådata-K'!S188</f>
        <v>0.19273461150353177</v>
      </c>
      <c r="J189" s="32">
        <f>'Rådata-K'!T188</f>
        <v>0.88442565186751232</v>
      </c>
      <c r="K189" s="67">
        <f>'Rådata-K'!L188</f>
        <v>521600</v>
      </c>
      <c r="L189" s="18">
        <f>Tabell2[[#This Row],[NIBR11]]</f>
        <v>2</v>
      </c>
      <c r="M189" s="32">
        <f>IF(Tabell2[[#This Row],[ReisetidOslo]]&lt;=D$427,D$427,IF(Tabell2[[#This Row],[ReisetidOslo]]&gt;=D$428,D$428,Tabell2[[#This Row],[ReisetidOslo]]))</f>
        <v>181.59375</v>
      </c>
      <c r="N189" s="32">
        <f>IF(Tabell2[[#This Row],[Beftettotal]]&lt;=E$427,E$427,IF(Tabell2[[#This Row],[Beftettotal]]&gt;=E$428,E$428,Tabell2[[#This Row],[Beftettotal]]))</f>
        <v>74.67562204243626</v>
      </c>
      <c r="O189" s="32">
        <f>IF(Tabell2[[#This Row],[Befvekst10]]&lt;=F$427,F$427,IF(Tabell2[[#This Row],[Befvekst10]]&gt;=F$428,F$428,Tabell2[[#This Row],[Befvekst10]]))</f>
        <v>0.17761328412400704</v>
      </c>
      <c r="P189" s="32">
        <f>IF(Tabell2[[#This Row],[Kvinneandel]]&lt;=G$427,G$427,IF(Tabell2[[#This Row],[Kvinneandel]]&gt;=G$428,G$428,Tabell2[[#This Row],[Kvinneandel]]))</f>
        <v>0.12162714636140638</v>
      </c>
      <c r="Q189" s="32">
        <f>IF(Tabell2[[#This Row],[Eldreandel]]&lt;=H$427,H$427,IF(Tabell2[[#This Row],[Eldreandel]]&gt;=H$428,H$428,Tabell2[[#This Row],[Eldreandel]]))</f>
        <v>0.13032022035982854</v>
      </c>
      <c r="R189" s="32">
        <f>IF(Tabell2[[#This Row],[Sysselsettingsvekst10]]&lt;=I$427,I$427,IF(Tabell2[[#This Row],[Sysselsettingsvekst10]]&gt;=I$428,I$428,Tabell2[[#This Row],[Sysselsettingsvekst10]]))</f>
        <v>0.17904192152607218</v>
      </c>
      <c r="S189" s="32">
        <f>IF(Tabell2[[#This Row],[Yrkesaktivandel]]&lt;=J$427,J$427,IF(Tabell2[[#This Row],[Yrkesaktivandel]]&gt;=J$428,J$428,Tabell2[[#This Row],[Yrkesaktivandel]]))</f>
        <v>0.88442565186751232</v>
      </c>
      <c r="T189" s="67">
        <f>IF(Tabell2[[#This Row],[Inntekt]]&lt;=K$427,K$427,IF(Tabell2[[#This Row],[Inntekt]]&gt;=K$428,K$428,Tabell2[[#This Row],[Inntekt]]))</f>
        <v>449160</v>
      </c>
      <c r="U189" s="10">
        <f>IF(Tabell2[[#This Row],[NIBR11-T]]&lt;=L$430,100,IF(Tabell2[[#This Row],[NIBR11-T]]&gt;=L$429,0,100*(L$429-Tabell2[[#This Row],[NIBR11-T]])/L$432))</f>
        <v>90</v>
      </c>
      <c r="V189" s="10">
        <f>(M$429-Tabell2[[#This Row],[ReisetidOslo-T]])*100/M$432</f>
        <v>45.296685616578991</v>
      </c>
      <c r="W189" s="10">
        <f>100-(N$429-Tabell2[[#This Row],[Beftettotal-T]])*100/N$432</f>
        <v>54.727942918028077</v>
      </c>
      <c r="X189" s="10">
        <f>100-(O$429-Tabell2[[#This Row],[Befvekst10-T]])*100/O$432</f>
        <v>100</v>
      </c>
      <c r="Y189" s="10">
        <f>100-(P$429-Tabell2[[#This Row],[Kvinneandel-T]])*100/P$432</f>
        <v>83.75687350465526</v>
      </c>
      <c r="Z189" s="10">
        <f>(Q$429-Tabell2[[#This Row],[Eldreandel-T]])*100/Q$432</f>
        <v>100</v>
      </c>
      <c r="AA189" s="10">
        <f>100-(R$429-Tabell2[[#This Row],[Sysselsettingsvekst10-T]])*100/R$432</f>
        <v>100</v>
      </c>
      <c r="AB189" s="10">
        <f>100-(S$429-Tabell2[[#This Row],[Yrkesaktivandel-T]])*100/S$432</f>
        <v>67.776175226903575</v>
      </c>
      <c r="AC189" s="10">
        <f>100-(T$429-Tabell2[[#This Row],[Inntekt-T]])*100/T$432</f>
        <v>100</v>
      </c>
      <c r="AD18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83.967924051383832</v>
      </c>
    </row>
    <row r="190" spans="1:30" x14ac:dyDescent="0.25">
      <c r="A190" s="2" t="s">
        <v>184</v>
      </c>
      <c r="B190" s="2">
        <v>188</v>
      </c>
      <c r="C190">
        <f>'Rådata-K'!N189</f>
        <v>2</v>
      </c>
      <c r="D190" s="30">
        <f>'Rådata-K'!M189</f>
        <v>230.4375</v>
      </c>
      <c r="E190" s="32">
        <f>'Rådata-K'!O189</f>
        <v>84.896661367249607</v>
      </c>
      <c r="F190" s="32">
        <f>'Rådata-K'!P189</f>
        <v>1.3282732447817747E-2</v>
      </c>
      <c r="G190" s="32">
        <f>'Rådata-K'!Q189</f>
        <v>0.10486891385767791</v>
      </c>
      <c r="H190" s="32">
        <f>'Rådata-K'!R189</f>
        <v>0.19850187265917604</v>
      </c>
      <c r="I190" s="32">
        <f>'Rådata-K'!S189</f>
        <v>0.1598513011152416</v>
      </c>
      <c r="J190" s="32">
        <f>'Rådata-K'!T189</f>
        <v>0.93103448275862066</v>
      </c>
      <c r="K190" s="67">
        <f>'Rådata-K'!L189</f>
        <v>436100</v>
      </c>
      <c r="L190" s="18">
        <f>Tabell2[[#This Row],[NIBR11]]</f>
        <v>2</v>
      </c>
      <c r="M190" s="32">
        <f>IF(Tabell2[[#This Row],[ReisetidOslo]]&lt;=D$427,D$427,IF(Tabell2[[#This Row],[ReisetidOslo]]&gt;=D$428,D$428,Tabell2[[#This Row],[ReisetidOslo]]))</f>
        <v>230.4375</v>
      </c>
      <c r="N190" s="32">
        <f>IF(Tabell2[[#This Row],[Beftettotal]]&lt;=E$427,E$427,IF(Tabell2[[#This Row],[Beftettotal]]&gt;=E$428,E$428,Tabell2[[#This Row],[Beftettotal]]))</f>
        <v>84.896661367249607</v>
      </c>
      <c r="O190" s="32">
        <f>IF(Tabell2[[#This Row],[Befvekst10]]&lt;=F$427,F$427,IF(Tabell2[[#This Row],[Befvekst10]]&gt;=F$428,F$428,Tabell2[[#This Row],[Befvekst10]]))</f>
        <v>1.3282732447817747E-2</v>
      </c>
      <c r="P190" s="32">
        <f>IF(Tabell2[[#This Row],[Kvinneandel]]&lt;=G$427,G$427,IF(Tabell2[[#This Row],[Kvinneandel]]&gt;=G$428,G$428,Tabell2[[#This Row],[Kvinneandel]]))</f>
        <v>0.10486891385767791</v>
      </c>
      <c r="Q190" s="32">
        <f>IF(Tabell2[[#This Row],[Eldreandel]]&lt;=H$427,H$427,IF(Tabell2[[#This Row],[Eldreandel]]&gt;=H$428,H$428,Tabell2[[#This Row],[Eldreandel]]))</f>
        <v>0.19850187265917604</v>
      </c>
      <c r="R190" s="32">
        <f>IF(Tabell2[[#This Row],[Sysselsettingsvekst10]]&lt;=I$427,I$427,IF(Tabell2[[#This Row],[Sysselsettingsvekst10]]&gt;=I$428,I$428,Tabell2[[#This Row],[Sysselsettingsvekst10]]))</f>
        <v>0.1598513011152416</v>
      </c>
      <c r="S190" s="32">
        <f>IF(Tabell2[[#This Row],[Yrkesaktivandel]]&lt;=J$427,J$427,IF(Tabell2[[#This Row],[Yrkesaktivandel]]&gt;=J$428,J$428,Tabell2[[#This Row],[Yrkesaktivandel]]))</f>
        <v>0.92597026588718434</v>
      </c>
      <c r="T190" s="67">
        <f>IF(Tabell2[[#This Row],[Inntekt]]&lt;=K$427,K$427,IF(Tabell2[[#This Row],[Inntekt]]&gt;=K$428,K$428,Tabell2[[#This Row],[Inntekt]]))</f>
        <v>436100</v>
      </c>
      <c r="U190" s="10">
        <f>IF(Tabell2[[#This Row],[NIBR11-T]]&lt;=L$430,100,IF(Tabell2[[#This Row],[NIBR11-T]]&gt;=L$429,0,100*(L$429-Tabell2[[#This Row],[NIBR11-T]])/L$432))</f>
        <v>90</v>
      </c>
      <c r="V190" s="10">
        <f>(M$429-Tabell2[[#This Row],[ReisetidOslo-T]])*100/M$432</f>
        <v>24.253195062925169</v>
      </c>
      <c r="W190" s="10">
        <f>100-(N$429-Tabell2[[#This Row],[Beftettotal-T]])*100/N$432</f>
        <v>62.345743435243833</v>
      </c>
      <c r="X190" s="10">
        <f>100-(O$429-Tabell2[[#This Row],[Befvekst10-T]])*100/O$432</f>
        <v>29.210538627720439</v>
      </c>
      <c r="Y190" s="10">
        <f>100-(P$429-Tabell2[[#This Row],[Kvinneandel-T]])*100/P$432</f>
        <v>39.493300486610167</v>
      </c>
      <c r="Z190" s="10">
        <f>(Q$429-Tabell2[[#This Row],[Eldreandel-T]])*100/Q$432</f>
        <v>26.458433254128604</v>
      </c>
      <c r="AA190" s="10">
        <f>100-(R$429-Tabell2[[#This Row],[Sysselsettingsvekst10-T]])*100/R$432</f>
        <v>93.286273983219459</v>
      </c>
      <c r="AB190" s="10">
        <f>100-(S$429-Tabell2[[#This Row],[Yrkesaktivandel-T]])*100/S$432</f>
        <v>100</v>
      </c>
      <c r="AC190" s="10">
        <f>100-(T$429-Tabell2[[#This Row],[Inntekt-T]])*100/T$432</f>
        <v>85.493724314117514</v>
      </c>
      <c r="AD19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63.677588092131622</v>
      </c>
    </row>
    <row r="191" spans="1:30" x14ac:dyDescent="0.25">
      <c r="A191" s="2" t="s">
        <v>185</v>
      </c>
      <c r="B191" s="2">
        <v>189</v>
      </c>
      <c r="C191">
        <f>'Rådata-K'!N190</f>
        <v>4</v>
      </c>
      <c r="D191" s="30">
        <f>'Rådata-K'!M190</f>
        <v>178.03125</v>
      </c>
      <c r="E191" s="32">
        <f>'Rådata-K'!O190</f>
        <v>18.12977099236641</v>
      </c>
      <c r="F191" s="32">
        <f>'Rådata-K'!P190</f>
        <v>7.8184110970996201E-2</v>
      </c>
      <c r="G191" s="32">
        <f>'Rådata-K'!Q190</f>
        <v>0.1064327485380117</v>
      </c>
      <c r="H191" s="32">
        <f>'Rådata-K'!R190</f>
        <v>0.17777777777777778</v>
      </c>
      <c r="I191" s="32">
        <f>'Rådata-K'!S190</f>
        <v>-1.6891891891891886E-2</v>
      </c>
      <c r="J191" s="32">
        <f>'Rådata-K'!T190</f>
        <v>0.90064794816414684</v>
      </c>
      <c r="K191" s="67">
        <f>'Rådata-K'!L190</f>
        <v>421400</v>
      </c>
      <c r="L191" s="18">
        <f>Tabell2[[#This Row],[NIBR11]]</f>
        <v>4</v>
      </c>
      <c r="M191" s="32">
        <f>IF(Tabell2[[#This Row],[ReisetidOslo]]&lt;=D$427,D$427,IF(Tabell2[[#This Row],[ReisetidOslo]]&gt;=D$428,D$428,Tabell2[[#This Row],[ReisetidOslo]]))</f>
        <v>178.03125</v>
      </c>
      <c r="N191" s="32">
        <f>IF(Tabell2[[#This Row],[Beftettotal]]&lt;=E$427,E$427,IF(Tabell2[[#This Row],[Beftettotal]]&gt;=E$428,E$428,Tabell2[[#This Row],[Beftettotal]]))</f>
        <v>18.12977099236641</v>
      </c>
      <c r="O191" s="32">
        <f>IF(Tabell2[[#This Row],[Befvekst10]]&lt;=F$427,F$427,IF(Tabell2[[#This Row],[Befvekst10]]&gt;=F$428,F$428,Tabell2[[#This Row],[Befvekst10]]))</f>
        <v>7.8184110970996201E-2</v>
      </c>
      <c r="P191" s="32">
        <f>IF(Tabell2[[#This Row],[Kvinneandel]]&lt;=G$427,G$427,IF(Tabell2[[#This Row],[Kvinneandel]]&gt;=G$428,G$428,Tabell2[[#This Row],[Kvinneandel]]))</f>
        <v>0.1064327485380117</v>
      </c>
      <c r="Q191" s="32">
        <f>IF(Tabell2[[#This Row],[Eldreandel]]&lt;=H$427,H$427,IF(Tabell2[[#This Row],[Eldreandel]]&gt;=H$428,H$428,Tabell2[[#This Row],[Eldreandel]]))</f>
        <v>0.17777777777777778</v>
      </c>
      <c r="R191" s="32">
        <f>IF(Tabell2[[#This Row],[Sysselsettingsvekst10]]&lt;=I$427,I$427,IF(Tabell2[[#This Row],[Sysselsettingsvekst10]]&gt;=I$428,I$428,Tabell2[[#This Row],[Sysselsettingsvekst10]]))</f>
        <v>-1.6891891891891886E-2</v>
      </c>
      <c r="S191" s="32">
        <f>IF(Tabell2[[#This Row],[Yrkesaktivandel]]&lt;=J$427,J$427,IF(Tabell2[[#This Row],[Yrkesaktivandel]]&gt;=J$428,J$428,Tabell2[[#This Row],[Yrkesaktivandel]]))</f>
        <v>0.90064794816414684</v>
      </c>
      <c r="T191" s="67">
        <f>IF(Tabell2[[#This Row],[Inntekt]]&lt;=K$427,K$427,IF(Tabell2[[#This Row],[Inntekt]]&gt;=K$428,K$428,Tabell2[[#This Row],[Inntekt]]))</f>
        <v>421400</v>
      </c>
      <c r="U191" s="10">
        <f>IF(Tabell2[[#This Row],[NIBR11-T]]&lt;=L$430,100,IF(Tabell2[[#This Row],[NIBR11-T]]&gt;=L$429,0,100*(L$429-Tabell2[[#This Row],[NIBR11-T]])/L$432))</f>
        <v>70</v>
      </c>
      <c r="V191" s="10">
        <f>(M$429-Tabell2[[#This Row],[ReisetidOslo-T]])*100/M$432</f>
        <v>46.831527537958735</v>
      </c>
      <c r="W191" s="10">
        <f>100-(N$429-Tabell2[[#This Row],[Beftettotal-T]])*100/N$432</f>
        <v>12.583988699018818</v>
      </c>
      <c r="X191" s="10">
        <f>100-(O$429-Tabell2[[#This Row],[Befvekst10-T]])*100/O$432</f>
        <v>57.168417312551341</v>
      </c>
      <c r="Y191" s="10">
        <f>100-(P$429-Tabell2[[#This Row],[Kvinneandel-T]])*100/P$432</f>
        <v>43.623862020811657</v>
      </c>
      <c r="Z191" s="10">
        <f>(Q$429-Tabell2[[#This Row],[Eldreandel-T]])*100/Q$432</f>
        <v>48.811696273873686</v>
      </c>
      <c r="AA191" s="10">
        <f>100-(R$429-Tabell2[[#This Row],[Sysselsettingsvekst10-T]])*100/R$432</f>
        <v>31.453704333143264</v>
      </c>
      <c r="AB191" s="10">
        <f>100-(S$429-Tabell2[[#This Row],[Yrkesaktivandel-T]])*100/S$432</f>
        <v>80.358899741625862</v>
      </c>
      <c r="AC191" s="10">
        <f>100-(T$429-Tabell2[[#This Row],[Inntekt-T]])*100/T$432</f>
        <v>69.165833611018542</v>
      </c>
      <c r="AD19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54.094856769521058</v>
      </c>
    </row>
    <row r="192" spans="1:30" x14ac:dyDescent="0.25">
      <c r="A192" s="2" t="s">
        <v>186</v>
      </c>
      <c r="B192" s="2">
        <v>190</v>
      </c>
      <c r="C192">
        <f>'Rådata-K'!N191</f>
        <v>4</v>
      </c>
      <c r="D192" s="30">
        <f>'Rådata-K'!M191</f>
        <v>169.5625</v>
      </c>
      <c r="E192" s="32">
        <f>'Rådata-K'!O191</f>
        <v>25.953785759620132</v>
      </c>
      <c r="F192" s="32">
        <f>'Rådata-K'!P191</f>
        <v>0.1606223063176706</v>
      </c>
      <c r="G192" s="32">
        <f>'Rådata-K'!Q191</f>
        <v>0.12498867856172448</v>
      </c>
      <c r="H192" s="32">
        <f>'Rådata-K'!R191</f>
        <v>0.13187211303323973</v>
      </c>
      <c r="I192" s="32">
        <f>'Rådata-K'!S191</f>
        <v>0.10837438423645329</v>
      </c>
      <c r="J192" s="32">
        <f>'Rådata-K'!T191</f>
        <v>0.88024246395806027</v>
      </c>
      <c r="K192" s="67">
        <f>'Rådata-K'!L191</f>
        <v>429800</v>
      </c>
      <c r="L192" s="18">
        <f>Tabell2[[#This Row],[NIBR11]]</f>
        <v>4</v>
      </c>
      <c r="M192" s="32">
        <f>IF(Tabell2[[#This Row],[ReisetidOslo]]&lt;=D$427,D$427,IF(Tabell2[[#This Row],[ReisetidOslo]]&gt;=D$428,D$428,Tabell2[[#This Row],[ReisetidOslo]]))</f>
        <v>169.5625</v>
      </c>
      <c r="N192" s="32">
        <f>IF(Tabell2[[#This Row],[Beftettotal]]&lt;=E$427,E$427,IF(Tabell2[[#This Row],[Beftettotal]]&gt;=E$428,E$428,Tabell2[[#This Row],[Beftettotal]]))</f>
        <v>25.953785759620132</v>
      </c>
      <c r="O192" s="32">
        <f>IF(Tabell2[[#This Row],[Befvekst10]]&lt;=F$427,F$427,IF(Tabell2[[#This Row],[Befvekst10]]&gt;=F$428,F$428,Tabell2[[#This Row],[Befvekst10]]))</f>
        <v>0.1606223063176706</v>
      </c>
      <c r="P192" s="32">
        <f>IF(Tabell2[[#This Row],[Kvinneandel]]&lt;=G$427,G$427,IF(Tabell2[[#This Row],[Kvinneandel]]&gt;=G$428,G$428,Tabell2[[#This Row],[Kvinneandel]]))</f>
        <v>0.12498867856172448</v>
      </c>
      <c r="Q192" s="32">
        <f>IF(Tabell2[[#This Row],[Eldreandel]]&lt;=H$427,H$427,IF(Tabell2[[#This Row],[Eldreandel]]&gt;=H$428,H$428,Tabell2[[#This Row],[Eldreandel]]))</f>
        <v>0.13187211303323973</v>
      </c>
      <c r="R192" s="32">
        <f>IF(Tabell2[[#This Row],[Sysselsettingsvekst10]]&lt;=I$427,I$427,IF(Tabell2[[#This Row],[Sysselsettingsvekst10]]&gt;=I$428,I$428,Tabell2[[#This Row],[Sysselsettingsvekst10]]))</f>
        <v>0.10837438423645329</v>
      </c>
      <c r="S192" s="32">
        <f>IF(Tabell2[[#This Row],[Yrkesaktivandel]]&lt;=J$427,J$427,IF(Tabell2[[#This Row],[Yrkesaktivandel]]&gt;=J$428,J$428,Tabell2[[#This Row],[Yrkesaktivandel]]))</f>
        <v>0.88024246395806027</v>
      </c>
      <c r="T192" s="67">
        <f>IF(Tabell2[[#This Row],[Inntekt]]&lt;=K$427,K$427,IF(Tabell2[[#This Row],[Inntekt]]&gt;=K$428,K$428,Tabell2[[#This Row],[Inntekt]]))</f>
        <v>429800</v>
      </c>
      <c r="U192" s="10">
        <f>IF(Tabell2[[#This Row],[NIBR11-T]]&lt;=L$430,100,IF(Tabell2[[#This Row],[NIBR11-T]]&gt;=L$429,0,100*(L$429-Tabell2[[#This Row],[NIBR11-T]])/L$432))</f>
        <v>70</v>
      </c>
      <c r="V192" s="10">
        <f>(M$429-Tabell2[[#This Row],[ReisetidOslo-T]])*100/M$432</f>
        <v>50.480142982642157</v>
      </c>
      <c r="W192" s="10">
        <f>100-(N$429-Tabell2[[#This Row],[Beftettotal-T]])*100/N$432</f>
        <v>18.415272763839454</v>
      </c>
      <c r="X192" s="10">
        <f>100-(O$429-Tabell2[[#This Row],[Befvekst10-T]])*100/O$432</f>
        <v>92.680714846810872</v>
      </c>
      <c r="Y192" s="10">
        <f>100-(P$429-Tabell2[[#This Row],[Kvinneandel-T]])*100/P$432</f>
        <v>92.635699238108074</v>
      </c>
      <c r="Z192" s="10">
        <f>(Q$429-Tabell2[[#This Row],[Eldreandel-T]])*100/Q$432</f>
        <v>98.326109521033274</v>
      </c>
      <c r="AA192" s="10">
        <f>100-(R$429-Tabell2[[#This Row],[Sysselsettingsvekst10-T]])*100/R$432</f>
        <v>75.277376474219523</v>
      </c>
      <c r="AB192" s="10">
        <f>100-(S$429-Tabell2[[#This Row],[Yrkesaktivandel-T]])*100/S$432</f>
        <v>64.531511210449139</v>
      </c>
      <c r="AC192" s="10">
        <f>100-(T$429-Tabell2[[#This Row],[Inntekt-T]])*100/T$432</f>
        <v>78.496056869932247</v>
      </c>
      <c r="AD19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70.804269437427493</v>
      </c>
    </row>
    <row r="193" spans="1:30" x14ac:dyDescent="0.25">
      <c r="A193" s="2" t="s">
        <v>187</v>
      </c>
      <c r="B193" s="2">
        <v>191</v>
      </c>
      <c r="C193">
        <f>'Rådata-K'!N192</f>
        <v>4</v>
      </c>
      <c r="D193" s="30">
        <f>'Rådata-K'!M192</f>
        <v>161.15625</v>
      </c>
      <c r="E193" s="32">
        <f>'Rådata-K'!O192</f>
        <v>183.64427049358557</v>
      </c>
      <c r="F193" s="32">
        <f>'Rådata-K'!P192</f>
        <v>0.10117604109624767</v>
      </c>
      <c r="G193" s="32">
        <f>'Rådata-K'!Q192</f>
        <v>0.12306708659925643</v>
      </c>
      <c r="H193" s="32">
        <f>'Rådata-K'!R192</f>
        <v>0.13969073385588102</v>
      </c>
      <c r="I193" s="32">
        <f>'Rådata-K'!S192</f>
        <v>5.7170813530891706E-2</v>
      </c>
      <c r="J193" s="32">
        <f>'Rådata-K'!T192</f>
        <v>0.81291205373802711</v>
      </c>
      <c r="K193" s="67">
        <f>'Rådata-K'!L192</f>
        <v>424800</v>
      </c>
      <c r="L193" s="18">
        <f>Tabell2[[#This Row],[NIBR11]]</f>
        <v>4</v>
      </c>
      <c r="M193" s="32">
        <f>IF(Tabell2[[#This Row],[ReisetidOslo]]&lt;=D$427,D$427,IF(Tabell2[[#This Row],[ReisetidOslo]]&gt;=D$428,D$428,Tabell2[[#This Row],[ReisetidOslo]]))</f>
        <v>161.15625</v>
      </c>
      <c r="N193" s="32">
        <f>IF(Tabell2[[#This Row],[Beftettotal]]&lt;=E$427,E$427,IF(Tabell2[[#This Row],[Beftettotal]]&gt;=E$428,E$428,Tabell2[[#This Row],[Beftettotal]]))</f>
        <v>135.41854576488009</v>
      </c>
      <c r="O193" s="32">
        <f>IF(Tabell2[[#This Row],[Befvekst10]]&lt;=F$427,F$427,IF(Tabell2[[#This Row],[Befvekst10]]&gt;=F$428,F$428,Tabell2[[#This Row],[Befvekst10]]))</f>
        <v>0.10117604109624767</v>
      </c>
      <c r="P193" s="32">
        <f>IF(Tabell2[[#This Row],[Kvinneandel]]&lt;=G$427,G$427,IF(Tabell2[[#This Row],[Kvinneandel]]&gt;=G$428,G$428,Tabell2[[#This Row],[Kvinneandel]]))</f>
        <v>0.12306708659925643</v>
      </c>
      <c r="Q193" s="32">
        <f>IF(Tabell2[[#This Row],[Eldreandel]]&lt;=H$427,H$427,IF(Tabell2[[#This Row],[Eldreandel]]&gt;=H$428,H$428,Tabell2[[#This Row],[Eldreandel]]))</f>
        <v>0.13969073385588102</v>
      </c>
      <c r="R193" s="32">
        <f>IF(Tabell2[[#This Row],[Sysselsettingsvekst10]]&lt;=I$427,I$427,IF(Tabell2[[#This Row],[Sysselsettingsvekst10]]&gt;=I$428,I$428,Tabell2[[#This Row],[Sysselsettingsvekst10]]))</f>
        <v>5.7170813530891706E-2</v>
      </c>
      <c r="S193" s="32">
        <f>IF(Tabell2[[#This Row],[Yrkesaktivandel]]&lt;=J$427,J$427,IF(Tabell2[[#This Row],[Yrkesaktivandel]]&gt;=J$428,J$428,Tabell2[[#This Row],[Yrkesaktivandel]]))</f>
        <v>0.81291205373802711</v>
      </c>
      <c r="T193" s="67">
        <f>IF(Tabell2[[#This Row],[Inntekt]]&lt;=K$427,K$427,IF(Tabell2[[#This Row],[Inntekt]]&gt;=K$428,K$428,Tabell2[[#This Row],[Inntekt]]))</f>
        <v>424800</v>
      </c>
      <c r="U193" s="10">
        <f>IF(Tabell2[[#This Row],[NIBR11-T]]&lt;=L$430,100,IF(Tabell2[[#This Row],[NIBR11-T]]&gt;=L$429,0,100*(L$429-Tabell2[[#This Row],[NIBR11-T]])/L$432))</f>
        <v>70</v>
      </c>
      <c r="V193" s="10">
        <f>(M$429-Tabell2[[#This Row],[ReisetidOslo-T]])*100/M$432</f>
        <v>54.101831376073299</v>
      </c>
      <c r="W193" s="10">
        <f>100-(N$429-Tabell2[[#This Row],[Beftettotal-T]])*100/N$432</f>
        <v>100</v>
      </c>
      <c r="X193" s="10">
        <f>100-(O$429-Tabell2[[#This Row],[Befvekst10-T]])*100/O$432</f>
        <v>67.072761531408304</v>
      </c>
      <c r="Y193" s="10">
        <f>100-(P$429-Tabell2[[#This Row],[Kvinneandel-T]])*100/P$432</f>
        <v>87.560192252352323</v>
      </c>
      <c r="Z193" s="10">
        <f>(Q$429-Tabell2[[#This Row],[Eldreandel-T]])*100/Q$432</f>
        <v>89.892849168754637</v>
      </c>
      <c r="AA193" s="10">
        <f>100-(R$429-Tabell2[[#This Row],[Sysselsettingsvekst10-T]])*100/R$432</f>
        <v>57.364107521018859</v>
      </c>
      <c r="AB193" s="10">
        <f>100-(S$429-Tabell2[[#This Row],[Yrkesaktivandel-T]])*100/S$432</f>
        <v>12.307091943882142</v>
      </c>
      <c r="AC193" s="10">
        <f>100-(T$429-Tabell2[[#This Row],[Inntekt-T]])*100/T$432</f>
        <v>72.942352549150286</v>
      </c>
      <c r="AD19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65.958742716349462</v>
      </c>
    </row>
    <row r="194" spans="1:30" x14ac:dyDescent="0.25">
      <c r="A194" s="2" t="s">
        <v>188</v>
      </c>
      <c r="B194" s="2">
        <v>192</v>
      </c>
      <c r="C194">
        <f>'Rådata-K'!N193</f>
        <v>11</v>
      </c>
      <c r="D194" s="30">
        <f>'Rådata-K'!M193</f>
        <v>278.8125</v>
      </c>
      <c r="E194" s="32">
        <f>'Rådata-K'!O193</f>
        <v>31.753554502369667</v>
      </c>
      <c r="F194" s="32">
        <f>'Rådata-K'!P193</f>
        <v>-6.074766355140182E-2</v>
      </c>
      <c r="G194" s="32">
        <f>'Rådata-K'!Q193</f>
        <v>0.13432835820895522</v>
      </c>
      <c r="H194" s="32">
        <f>'Rådata-K'!R193</f>
        <v>0.15422885572139303</v>
      </c>
      <c r="I194" s="32">
        <f>'Rådata-K'!S193</f>
        <v>-0.13761467889908252</v>
      </c>
      <c r="J194" s="32">
        <f>'Rådata-K'!T193</f>
        <v>0.96460176991150437</v>
      </c>
      <c r="K194" s="67">
        <f>'Rådata-K'!L193</f>
        <v>426600</v>
      </c>
      <c r="L194" s="18">
        <f>Tabell2[[#This Row],[NIBR11]]</f>
        <v>11</v>
      </c>
      <c r="M194" s="32">
        <f>IF(Tabell2[[#This Row],[ReisetidOslo]]&lt;=D$427,D$427,IF(Tabell2[[#This Row],[ReisetidOslo]]&gt;=D$428,D$428,Tabell2[[#This Row],[ReisetidOslo]]))</f>
        <v>278.8125</v>
      </c>
      <c r="N194" s="32">
        <f>IF(Tabell2[[#This Row],[Beftettotal]]&lt;=E$427,E$427,IF(Tabell2[[#This Row],[Beftettotal]]&gt;=E$428,E$428,Tabell2[[#This Row],[Beftettotal]]))</f>
        <v>31.753554502369667</v>
      </c>
      <c r="O194" s="32">
        <f>IF(Tabell2[[#This Row],[Befvekst10]]&lt;=F$427,F$427,IF(Tabell2[[#This Row],[Befvekst10]]&gt;=F$428,F$428,Tabell2[[#This Row],[Befvekst10]]))</f>
        <v>-5.4526569027269343E-2</v>
      </c>
      <c r="P194" s="32">
        <f>IF(Tabell2[[#This Row],[Kvinneandel]]&lt;=G$427,G$427,IF(Tabell2[[#This Row],[Kvinneandel]]&gt;=G$428,G$428,Tabell2[[#This Row],[Kvinneandel]]))</f>
        <v>0.12777681011054584</v>
      </c>
      <c r="Q194" s="32">
        <f>IF(Tabell2[[#This Row],[Eldreandel]]&lt;=H$427,H$427,IF(Tabell2[[#This Row],[Eldreandel]]&gt;=H$428,H$428,Tabell2[[#This Row],[Eldreandel]]))</f>
        <v>0.15422885572139303</v>
      </c>
      <c r="R194" s="32">
        <f>IF(Tabell2[[#This Row],[Sysselsettingsvekst10]]&lt;=I$427,I$427,IF(Tabell2[[#This Row],[Sysselsettingsvekst10]]&gt;=I$428,I$428,Tabell2[[#This Row],[Sysselsettingsvekst10]]))</f>
        <v>-0.10679965679965678</v>
      </c>
      <c r="S194" s="32">
        <f>IF(Tabell2[[#This Row],[Yrkesaktivandel]]&lt;=J$427,J$427,IF(Tabell2[[#This Row],[Yrkesaktivandel]]&gt;=J$428,J$428,Tabell2[[#This Row],[Yrkesaktivandel]]))</f>
        <v>0.92597026588718434</v>
      </c>
      <c r="T194" s="67">
        <f>IF(Tabell2[[#This Row],[Inntekt]]&lt;=K$427,K$427,IF(Tabell2[[#This Row],[Inntekt]]&gt;=K$428,K$428,Tabell2[[#This Row],[Inntekt]]))</f>
        <v>426600</v>
      </c>
      <c r="U194" s="10">
        <f>IF(Tabell2[[#This Row],[NIBR11-T]]&lt;=L$430,100,IF(Tabell2[[#This Row],[NIBR11-T]]&gt;=L$429,0,100*(L$429-Tabell2[[#This Row],[NIBR11-T]])/L$432))</f>
        <v>0</v>
      </c>
      <c r="V194" s="10">
        <f>(M$429-Tabell2[[#This Row],[ReisetidOslo-T]])*100/M$432</f>
        <v>3.4116573936634107</v>
      </c>
      <c r="W194" s="10">
        <f>100-(N$429-Tabell2[[#This Row],[Beftettotal-T]])*100/N$432</f>
        <v>22.737874401912691</v>
      </c>
      <c r="X194" s="10">
        <f>100-(O$429-Tabell2[[#This Row],[Befvekst10-T]])*100/O$432</f>
        <v>0</v>
      </c>
      <c r="Y194" s="10">
        <f>100-(P$429-Tabell2[[#This Row],[Kvinneandel-T]])*100/P$432</f>
        <v>100</v>
      </c>
      <c r="Z194" s="10">
        <f>(Q$429-Tabell2[[#This Row],[Eldreandel-T]])*100/Q$432</f>
        <v>74.211852544646788</v>
      </c>
      <c r="AA194" s="10">
        <f>100-(R$429-Tabell2[[#This Row],[Sysselsettingsvekst10-T]])*100/R$432</f>
        <v>0</v>
      </c>
      <c r="AB194" s="10">
        <f>100-(S$429-Tabell2[[#This Row],[Yrkesaktivandel-T]])*100/S$432</f>
        <v>100</v>
      </c>
      <c r="AC194" s="10">
        <f>100-(T$429-Tabell2[[#This Row],[Inntekt-T]])*100/T$432</f>
        <v>74.941686104631785</v>
      </c>
      <c r="AD19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28.819714417253131</v>
      </c>
    </row>
    <row r="195" spans="1:30" x14ac:dyDescent="0.25">
      <c r="A195" s="2" t="s">
        <v>189</v>
      </c>
      <c r="B195" s="2">
        <v>193</v>
      </c>
      <c r="C195">
        <f>'Rådata-K'!N194</f>
        <v>4</v>
      </c>
      <c r="D195" s="30">
        <f>'Rådata-K'!M194</f>
        <v>199.21875</v>
      </c>
      <c r="E195" s="32">
        <f>'Rådata-K'!O194</f>
        <v>14.225172819413784</v>
      </c>
      <c r="F195" s="32">
        <f>'Rådata-K'!P194</f>
        <v>8.8398471211934337E-2</v>
      </c>
      <c r="G195" s="32">
        <f>'Rådata-K'!Q194</f>
        <v>0.1137290439510648</v>
      </c>
      <c r="H195" s="32">
        <f>'Rådata-K'!R194</f>
        <v>0.14918441323062981</v>
      </c>
      <c r="I195" s="32">
        <f>'Rådata-K'!S194</f>
        <v>0.18797175553932322</v>
      </c>
      <c r="J195" s="32">
        <f>'Rådata-K'!T194</f>
        <v>0.90405756546072358</v>
      </c>
      <c r="K195" s="67">
        <f>'Rådata-K'!L194</f>
        <v>440000</v>
      </c>
      <c r="L195" s="18">
        <f>Tabell2[[#This Row],[NIBR11]]</f>
        <v>4</v>
      </c>
      <c r="M195" s="32">
        <f>IF(Tabell2[[#This Row],[ReisetidOslo]]&lt;=D$427,D$427,IF(Tabell2[[#This Row],[ReisetidOslo]]&gt;=D$428,D$428,Tabell2[[#This Row],[ReisetidOslo]]))</f>
        <v>199.21875</v>
      </c>
      <c r="N195" s="32">
        <f>IF(Tabell2[[#This Row],[Beftettotal]]&lt;=E$427,E$427,IF(Tabell2[[#This Row],[Beftettotal]]&gt;=E$428,E$428,Tabell2[[#This Row],[Beftettotal]]))</f>
        <v>14.225172819413784</v>
      </c>
      <c r="O195" s="32">
        <f>IF(Tabell2[[#This Row],[Befvekst10]]&lt;=F$427,F$427,IF(Tabell2[[#This Row],[Befvekst10]]&gt;=F$428,F$428,Tabell2[[#This Row],[Befvekst10]]))</f>
        <v>8.8398471211934337E-2</v>
      </c>
      <c r="P195" s="32">
        <f>IF(Tabell2[[#This Row],[Kvinneandel]]&lt;=G$427,G$427,IF(Tabell2[[#This Row],[Kvinneandel]]&gt;=G$428,G$428,Tabell2[[#This Row],[Kvinneandel]]))</f>
        <v>0.1137290439510648</v>
      </c>
      <c r="Q195" s="32">
        <f>IF(Tabell2[[#This Row],[Eldreandel]]&lt;=H$427,H$427,IF(Tabell2[[#This Row],[Eldreandel]]&gt;=H$428,H$428,Tabell2[[#This Row],[Eldreandel]]))</f>
        <v>0.14918441323062981</v>
      </c>
      <c r="R195" s="32">
        <f>IF(Tabell2[[#This Row],[Sysselsettingsvekst10]]&lt;=I$427,I$427,IF(Tabell2[[#This Row],[Sysselsettingsvekst10]]&gt;=I$428,I$428,Tabell2[[#This Row],[Sysselsettingsvekst10]]))</f>
        <v>0.17904192152607218</v>
      </c>
      <c r="S195" s="32">
        <f>IF(Tabell2[[#This Row],[Yrkesaktivandel]]&lt;=J$427,J$427,IF(Tabell2[[#This Row],[Yrkesaktivandel]]&gt;=J$428,J$428,Tabell2[[#This Row],[Yrkesaktivandel]]))</f>
        <v>0.90405756546072358</v>
      </c>
      <c r="T195" s="67">
        <f>IF(Tabell2[[#This Row],[Inntekt]]&lt;=K$427,K$427,IF(Tabell2[[#This Row],[Inntekt]]&gt;=K$428,K$428,Tabell2[[#This Row],[Inntekt]]))</f>
        <v>440000</v>
      </c>
      <c r="U195" s="10">
        <f>IF(Tabell2[[#This Row],[NIBR11-T]]&lt;=L$430,100,IF(Tabell2[[#This Row],[NIBR11-T]]&gt;=L$429,0,100*(L$429-Tabell2[[#This Row],[NIBR11-T]])/L$432))</f>
        <v>70</v>
      </c>
      <c r="V195" s="10">
        <f>(M$429-Tabell2[[#This Row],[ReisetidOslo-T]])*100/M$432</f>
        <v>37.703257163437115</v>
      </c>
      <c r="W195" s="10">
        <f>100-(N$429-Tabell2[[#This Row],[Beftettotal-T]])*100/N$432</f>
        <v>9.6738687947515132</v>
      </c>
      <c r="X195" s="10">
        <f>100-(O$429-Tabell2[[#This Row],[Befvekst10-T]])*100/O$432</f>
        <v>61.568506354686576</v>
      </c>
      <c r="Y195" s="10">
        <f>100-(P$429-Tabell2[[#This Row],[Kvinneandel-T]])*100/P$432</f>
        <v>62.895590391035022</v>
      </c>
      <c r="Z195" s="10">
        <f>(Q$429-Tabell2[[#This Row],[Eldreandel-T]])*100/Q$432</f>
        <v>79.65285010952573</v>
      </c>
      <c r="AA195" s="10">
        <f>100-(R$429-Tabell2[[#This Row],[Sysselsettingsvekst10-T]])*100/R$432</f>
        <v>100</v>
      </c>
      <c r="AB195" s="10">
        <f>100-(S$429-Tabell2[[#This Row],[Yrkesaktivandel-T]])*100/S$432</f>
        <v>83.003548462063648</v>
      </c>
      <c r="AC195" s="10">
        <f>100-(T$429-Tabell2[[#This Row],[Inntekt-T]])*100/T$432</f>
        <v>89.82561368432745</v>
      </c>
      <c r="AD19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65.461752106423333</v>
      </c>
    </row>
    <row r="196" spans="1:30" x14ac:dyDescent="0.25">
      <c r="A196" s="2" t="s">
        <v>190</v>
      </c>
      <c r="B196" s="2">
        <v>194</v>
      </c>
      <c r="C196">
        <f>'Rådata-K'!N195</f>
        <v>1</v>
      </c>
      <c r="D196" s="30">
        <f>'Rådata-K'!M195</f>
        <v>166.28125</v>
      </c>
      <c r="E196" s="32">
        <f>'Rådata-K'!O195</f>
        <v>599.43189154293088</v>
      </c>
      <c r="F196" s="32">
        <f>'Rådata-K'!P195</f>
        <v>0.138729457934756</v>
      </c>
      <c r="G196" s="32">
        <f>'Rådata-K'!Q195</f>
        <v>0.1512191444449231</v>
      </c>
      <c r="H196" s="32">
        <f>'Rådata-K'!R195</f>
        <v>0.1324078461781473</v>
      </c>
      <c r="I196" s="32">
        <f>'Rådata-K'!S195</f>
        <v>9.5662560147425246E-2</v>
      </c>
      <c r="J196" s="32">
        <f>'Rådata-K'!T195</f>
        <v>0.8139087981718085</v>
      </c>
      <c r="K196" s="67">
        <f>'Rådata-K'!L195</f>
        <v>462600</v>
      </c>
      <c r="L196" s="18">
        <f>Tabell2[[#This Row],[NIBR11]]</f>
        <v>1</v>
      </c>
      <c r="M196" s="32">
        <f>IF(Tabell2[[#This Row],[ReisetidOslo]]&lt;=D$427,D$427,IF(Tabell2[[#This Row],[ReisetidOslo]]&gt;=D$428,D$428,Tabell2[[#This Row],[ReisetidOslo]]))</f>
        <v>166.28125</v>
      </c>
      <c r="N196" s="32">
        <f>IF(Tabell2[[#This Row],[Beftettotal]]&lt;=E$427,E$427,IF(Tabell2[[#This Row],[Beftettotal]]&gt;=E$428,E$428,Tabell2[[#This Row],[Beftettotal]]))</f>
        <v>135.41854576488009</v>
      </c>
      <c r="O196" s="32">
        <f>IF(Tabell2[[#This Row],[Befvekst10]]&lt;=F$427,F$427,IF(Tabell2[[#This Row],[Befvekst10]]&gt;=F$428,F$428,Tabell2[[#This Row],[Befvekst10]]))</f>
        <v>0.138729457934756</v>
      </c>
      <c r="P196" s="32">
        <f>IF(Tabell2[[#This Row],[Kvinneandel]]&lt;=G$427,G$427,IF(Tabell2[[#This Row],[Kvinneandel]]&gt;=G$428,G$428,Tabell2[[#This Row],[Kvinneandel]]))</f>
        <v>0.12777681011054584</v>
      </c>
      <c r="Q196" s="32">
        <f>IF(Tabell2[[#This Row],[Eldreandel]]&lt;=H$427,H$427,IF(Tabell2[[#This Row],[Eldreandel]]&gt;=H$428,H$428,Tabell2[[#This Row],[Eldreandel]]))</f>
        <v>0.1324078461781473</v>
      </c>
      <c r="R196" s="32">
        <f>IF(Tabell2[[#This Row],[Sysselsettingsvekst10]]&lt;=I$427,I$427,IF(Tabell2[[#This Row],[Sysselsettingsvekst10]]&gt;=I$428,I$428,Tabell2[[#This Row],[Sysselsettingsvekst10]]))</f>
        <v>9.5662560147425246E-2</v>
      </c>
      <c r="S196" s="32">
        <f>IF(Tabell2[[#This Row],[Yrkesaktivandel]]&lt;=J$427,J$427,IF(Tabell2[[#This Row],[Yrkesaktivandel]]&gt;=J$428,J$428,Tabell2[[#This Row],[Yrkesaktivandel]]))</f>
        <v>0.8139087981718085</v>
      </c>
      <c r="T196" s="67">
        <f>IF(Tabell2[[#This Row],[Inntekt]]&lt;=K$427,K$427,IF(Tabell2[[#This Row],[Inntekt]]&gt;=K$428,K$428,Tabell2[[#This Row],[Inntekt]]))</f>
        <v>449160</v>
      </c>
      <c r="U196" s="10">
        <f>IF(Tabell2[[#This Row],[NIBR11-T]]&lt;=L$430,100,IF(Tabell2[[#This Row],[NIBR11-T]]&gt;=L$429,0,100*(L$429-Tabell2[[#This Row],[NIBR11-T]])/L$432))</f>
        <v>100</v>
      </c>
      <c r="V196" s="10">
        <f>(M$429-Tabell2[[#This Row],[ReisetidOslo-T]])*100/M$432</f>
        <v>51.893813173386654</v>
      </c>
      <c r="W196" s="10">
        <f>100-(N$429-Tabell2[[#This Row],[Beftettotal-T]])*100/N$432</f>
        <v>100</v>
      </c>
      <c r="X196" s="10">
        <f>100-(O$429-Tabell2[[#This Row],[Befvekst10-T]])*100/O$432</f>
        <v>83.249827351311382</v>
      </c>
      <c r="Y196" s="10">
        <f>100-(P$429-Tabell2[[#This Row],[Kvinneandel-T]])*100/P$432</f>
        <v>100</v>
      </c>
      <c r="Z196" s="10">
        <f>(Q$429-Tabell2[[#This Row],[Eldreandel-T]])*100/Q$432</f>
        <v>97.748261177593051</v>
      </c>
      <c r="AA196" s="10">
        <f>100-(R$429-Tabell2[[#This Row],[Sysselsettingsvekst10-T]])*100/R$432</f>
        <v>70.83021935890919</v>
      </c>
      <c r="AB196" s="10">
        <f>100-(S$429-Tabell2[[#This Row],[Yrkesaktivandel-T]])*100/S$432</f>
        <v>13.080210643757951</v>
      </c>
      <c r="AC196" s="10">
        <f>100-(T$429-Tabell2[[#This Row],[Inntekt-T]])*100/T$432</f>
        <v>100</v>
      </c>
      <c r="AD19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80.11780284674731</v>
      </c>
    </row>
    <row r="197" spans="1:30" x14ac:dyDescent="0.25">
      <c r="A197" s="2" t="s">
        <v>191</v>
      </c>
      <c r="B197" s="2">
        <v>195</v>
      </c>
      <c r="C197">
        <f>'Rådata-K'!N196</f>
        <v>8</v>
      </c>
      <c r="D197" s="30">
        <f>'Rådata-K'!M196</f>
        <v>210.3125</v>
      </c>
      <c r="E197" s="32">
        <f>'Rådata-K'!O196</f>
        <v>5.623707975193124</v>
      </c>
      <c r="F197" s="32">
        <f>'Rådata-K'!P196</f>
        <v>7.1798859512700819E-2</v>
      </c>
      <c r="G197" s="32">
        <f>'Rådata-K'!Q196</f>
        <v>0.10834340991535671</v>
      </c>
      <c r="H197" s="32">
        <f>'Rådata-K'!R196</f>
        <v>0.16469165659008464</v>
      </c>
      <c r="I197" s="32">
        <f>'Rådata-K'!S196</f>
        <v>4.0075140889167082E-2</v>
      </c>
      <c r="J197" s="32">
        <f>'Rådata-K'!T196</f>
        <v>0.89455337690631809</v>
      </c>
      <c r="K197" s="67">
        <f>'Rådata-K'!L196</f>
        <v>415100</v>
      </c>
      <c r="L197" s="18">
        <f>Tabell2[[#This Row],[NIBR11]]</f>
        <v>8</v>
      </c>
      <c r="M197" s="32">
        <f>IF(Tabell2[[#This Row],[ReisetidOslo]]&lt;=D$427,D$427,IF(Tabell2[[#This Row],[ReisetidOslo]]&gt;=D$428,D$428,Tabell2[[#This Row],[ReisetidOslo]]))</f>
        <v>210.3125</v>
      </c>
      <c r="N197" s="32">
        <f>IF(Tabell2[[#This Row],[Beftettotal]]&lt;=E$427,E$427,IF(Tabell2[[#This Row],[Beftettotal]]&gt;=E$428,E$428,Tabell2[[#This Row],[Beftettotal]]))</f>
        <v>5.623707975193124</v>
      </c>
      <c r="O197" s="32">
        <f>IF(Tabell2[[#This Row],[Befvekst10]]&lt;=F$427,F$427,IF(Tabell2[[#This Row],[Befvekst10]]&gt;=F$428,F$428,Tabell2[[#This Row],[Befvekst10]]))</f>
        <v>7.1798859512700819E-2</v>
      </c>
      <c r="P197" s="32">
        <f>IF(Tabell2[[#This Row],[Kvinneandel]]&lt;=G$427,G$427,IF(Tabell2[[#This Row],[Kvinneandel]]&gt;=G$428,G$428,Tabell2[[#This Row],[Kvinneandel]]))</f>
        <v>0.10834340991535671</v>
      </c>
      <c r="Q197" s="32">
        <f>IF(Tabell2[[#This Row],[Eldreandel]]&lt;=H$427,H$427,IF(Tabell2[[#This Row],[Eldreandel]]&gt;=H$428,H$428,Tabell2[[#This Row],[Eldreandel]]))</f>
        <v>0.16469165659008464</v>
      </c>
      <c r="R197" s="32">
        <f>IF(Tabell2[[#This Row],[Sysselsettingsvekst10]]&lt;=I$427,I$427,IF(Tabell2[[#This Row],[Sysselsettingsvekst10]]&gt;=I$428,I$428,Tabell2[[#This Row],[Sysselsettingsvekst10]]))</f>
        <v>4.0075140889167082E-2</v>
      </c>
      <c r="S197" s="32">
        <f>IF(Tabell2[[#This Row],[Yrkesaktivandel]]&lt;=J$427,J$427,IF(Tabell2[[#This Row],[Yrkesaktivandel]]&gt;=J$428,J$428,Tabell2[[#This Row],[Yrkesaktivandel]]))</f>
        <v>0.89455337690631809</v>
      </c>
      <c r="T197" s="67">
        <f>IF(Tabell2[[#This Row],[Inntekt]]&lt;=K$427,K$427,IF(Tabell2[[#This Row],[Inntekt]]&gt;=K$428,K$428,Tabell2[[#This Row],[Inntekt]]))</f>
        <v>415100</v>
      </c>
      <c r="U197" s="10">
        <f>IF(Tabell2[[#This Row],[NIBR11-T]]&lt;=L$430,100,IF(Tabell2[[#This Row],[NIBR11-T]]&gt;=L$429,0,100*(L$429-Tabell2[[#This Row],[NIBR11-T]])/L$432))</f>
        <v>30</v>
      </c>
      <c r="V197" s="10">
        <f>(M$429-Tabell2[[#This Row],[ReisetidOslo-T]])*100/M$432</f>
        <v>32.923705566158098</v>
      </c>
      <c r="W197" s="10">
        <f>100-(N$429-Tabell2[[#This Row],[Beftettotal-T]])*100/N$432</f>
        <v>3.2631466307103523</v>
      </c>
      <c r="X197" s="10">
        <f>100-(O$429-Tabell2[[#This Row],[Befvekst10-T]])*100/O$432</f>
        <v>54.417811860012186</v>
      </c>
      <c r="Y197" s="10">
        <f>100-(P$429-Tabell2[[#This Row],[Kvinneandel-T]])*100/P$432</f>
        <v>48.670498017182588</v>
      </c>
      <c r="Z197" s="10">
        <f>(Q$429-Tabell2[[#This Row],[Eldreandel-T]])*100/Q$432</f>
        <v>62.926547151116317</v>
      </c>
      <c r="AA197" s="10">
        <f>100-(R$429-Tabell2[[#This Row],[Sysselsettingsvekst10-T]])*100/R$432</f>
        <v>51.383286696469895</v>
      </c>
      <c r="AB197" s="10">
        <f>100-(S$429-Tabell2[[#This Row],[Yrkesaktivandel-T]])*100/S$432</f>
        <v>75.631682967234127</v>
      </c>
      <c r="AC197" s="10">
        <f>100-(T$429-Tabell2[[#This Row],[Inntekt-T]])*100/T$432</f>
        <v>62.168166166833281</v>
      </c>
      <c r="AD19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45.000413433157959</v>
      </c>
    </row>
    <row r="198" spans="1:30" x14ac:dyDescent="0.25">
      <c r="A198" s="2" t="s">
        <v>192</v>
      </c>
      <c r="B198" s="2">
        <v>196</v>
      </c>
      <c r="C198">
        <f>'Rådata-K'!N197</f>
        <v>4</v>
      </c>
      <c r="D198" s="30">
        <f>'Rådata-K'!M197</f>
        <v>180.15625</v>
      </c>
      <c r="E198" s="32">
        <f>'Rådata-K'!O197</f>
        <v>22.978792557081338</v>
      </c>
      <c r="F198" s="32">
        <f>'Rådata-K'!P197</f>
        <v>0.18723761544920237</v>
      </c>
      <c r="G198" s="32">
        <f>'Rådata-K'!Q197</f>
        <v>0.11704384724186705</v>
      </c>
      <c r="H198" s="32">
        <f>'Rådata-K'!R197</f>
        <v>0.13136492220650636</v>
      </c>
      <c r="I198" s="32">
        <f>'Rådata-K'!S197</f>
        <v>0.2696629213483146</v>
      </c>
      <c r="J198" s="32">
        <f>'Rådata-K'!T197</f>
        <v>0.86431522084524948</v>
      </c>
      <c r="K198" s="67">
        <f>'Rådata-K'!L197</f>
        <v>426100</v>
      </c>
      <c r="L198" s="18">
        <f>Tabell2[[#This Row],[NIBR11]]</f>
        <v>4</v>
      </c>
      <c r="M198" s="32">
        <f>IF(Tabell2[[#This Row],[ReisetidOslo]]&lt;=D$427,D$427,IF(Tabell2[[#This Row],[ReisetidOslo]]&gt;=D$428,D$428,Tabell2[[#This Row],[ReisetidOslo]]))</f>
        <v>180.15625</v>
      </c>
      <c r="N198" s="32">
        <f>IF(Tabell2[[#This Row],[Beftettotal]]&lt;=E$427,E$427,IF(Tabell2[[#This Row],[Beftettotal]]&gt;=E$428,E$428,Tabell2[[#This Row],[Beftettotal]]))</f>
        <v>22.978792557081338</v>
      </c>
      <c r="O198" s="32">
        <f>IF(Tabell2[[#This Row],[Befvekst10]]&lt;=F$427,F$427,IF(Tabell2[[#This Row],[Befvekst10]]&gt;=F$428,F$428,Tabell2[[#This Row],[Befvekst10]]))</f>
        <v>0.17761328412400704</v>
      </c>
      <c r="P198" s="32">
        <f>IF(Tabell2[[#This Row],[Kvinneandel]]&lt;=G$427,G$427,IF(Tabell2[[#This Row],[Kvinneandel]]&gt;=G$428,G$428,Tabell2[[#This Row],[Kvinneandel]]))</f>
        <v>0.11704384724186705</v>
      </c>
      <c r="Q198" s="32">
        <f>IF(Tabell2[[#This Row],[Eldreandel]]&lt;=H$427,H$427,IF(Tabell2[[#This Row],[Eldreandel]]&gt;=H$428,H$428,Tabell2[[#This Row],[Eldreandel]]))</f>
        <v>0.13136492220650636</v>
      </c>
      <c r="R198" s="32">
        <f>IF(Tabell2[[#This Row],[Sysselsettingsvekst10]]&lt;=I$427,I$427,IF(Tabell2[[#This Row],[Sysselsettingsvekst10]]&gt;=I$428,I$428,Tabell2[[#This Row],[Sysselsettingsvekst10]]))</f>
        <v>0.17904192152607218</v>
      </c>
      <c r="S198" s="32">
        <f>IF(Tabell2[[#This Row],[Yrkesaktivandel]]&lt;=J$427,J$427,IF(Tabell2[[#This Row],[Yrkesaktivandel]]&gt;=J$428,J$428,Tabell2[[#This Row],[Yrkesaktivandel]]))</f>
        <v>0.86431522084524948</v>
      </c>
      <c r="T198" s="67">
        <f>IF(Tabell2[[#This Row],[Inntekt]]&lt;=K$427,K$427,IF(Tabell2[[#This Row],[Inntekt]]&gt;=K$428,K$428,Tabell2[[#This Row],[Inntekt]]))</f>
        <v>426100</v>
      </c>
      <c r="U198" s="10">
        <f>IF(Tabell2[[#This Row],[NIBR11-T]]&lt;=L$430,100,IF(Tabell2[[#This Row],[NIBR11-T]]&gt;=L$429,0,100*(L$429-Tabell2[[#This Row],[NIBR11-T]])/L$432))</f>
        <v>70</v>
      </c>
      <c r="V198" s="10">
        <f>(M$429-Tabell2[[#This Row],[ReisetidOslo-T]])*100/M$432</f>
        <v>45.916007795381347</v>
      </c>
      <c r="W198" s="10">
        <f>100-(N$429-Tabell2[[#This Row],[Beftettotal-T]])*100/N$432</f>
        <v>16.197992892701947</v>
      </c>
      <c r="X198" s="10">
        <f>100-(O$429-Tabell2[[#This Row],[Befvekst10-T]])*100/O$432</f>
        <v>100</v>
      </c>
      <c r="Y198" s="10">
        <f>100-(P$429-Tabell2[[#This Row],[Kvinneandel-T]])*100/P$432</f>
        <v>71.650990906586827</v>
      </c>
      <c r="Z198" s="10">
        <f>(Q$429-Tabell2[[#This Row],[Eldreandel-T]])*100/Q$432</f>
        <v>98.873171769882035</v>
      </c>
      <c r="AA198" s="10">
        <f>100-(R$429-Tabell2[[#This Row],[Sysselsettingsvekst10-T]])*100/R$432</f>
        <v>100</v>
      </c>
      <c r="AB198" s="10">
        <f>100-(S$429-Tabell2[[#This Row],[Yrkesaktivandel-T]])*100/S$432</f>
        <v>52.177642886081131</v>
      </c>
      <c r="AC198" s="10">
        <f>100-(T$429-Tabell2[[#This Row],[Inntekt-T]])*100/T$432</f>
        <v>74.386315672553593</v>
      </c>
      <c r="AD19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71.394004058495256</v>
      </c>
    </row>
    <row r="199" spans="1:30" x14ac:dyDescent="0.25">
      <c r="A199" s="2" t="s">
        <v>193</v>
      </c>
      <c r="B199" s="2">
        <v>197</v>
      </c>
      <c r="C199">
        <f>'Rådata-K'!N198</f>
        <v>6</v>
      </c>
      <c r="D199" s="30">
        <f>'Rådata-K'!M198</f>
        <v>190.65625</v>
      </c>
      <c r="E199" s="32">
        <f>'Rådata-K'!O198</f>
        <v>47.882868267358859</v>
      </c>
      <c r="F199" s="32">
        <f>'Rådata-K'!P198</f>
        <v>8.3914799853103128E-2</v>
      </c>
      <c r="G199" s="32">
        <f>'Rådata-K'!Q198</f>
        <v>0.11426393359308826</v>
      </c>
      <c r="H199" s="32">
        <f>'Rådata-K'!R198</f>
        <v>0.14518041673725224</v>
      </c>
      <c r="I199" s="32">
        <f>'Rådata-K'!S198</f>
        <v>2.9601602492766554E-2</v>
      </c>
      <c r="J199" s="32">
        <f>'Rådata-K'!T198</f>
        <v>0.84776621787025708</v>
      </c>
      <c r="K199" s="67">
        <f>'Rådata-K'!L198</f>
        <v>471700</v>
      </c>
      <c r="L199" s="18">
        <f>Tabell2[[#This Row],[NIBR11]]</f>
        <v>6</v>
      </c>
      <c r="M199" s="32">
        <f>IF(Tabell2[[#This Row],[ReisetidOslo]]&lt;=D$427,D$427,IF(Tabell2[[#This Row],[ReisetidOslo]]&gt;=D$428,D$428,Tabell2[[#This Row],[ReisetidOslo]]))</f>
        <v>190.65625</v>
      </c>
      <c r="N199" s="32">
        <f>IF(Tabell2[[#This Row],[Beftettotal]]&lt;=E$427,E$427,IF(Tabell2[[#This Row],[Beftettotal]]&gt;=E$428,E$428,Tabell2[[#This Row],[Beftettotal]]))</f>
        <v>47.882868267358859</v>
      </c>
      <c r="O199" s="32">
        <f>IF(Tabell2[[#This Row],[Befvekst10]]&lt;=F$427,F$427,IF(Tabell2[[#This Row],[Befvekst10]]&gt;=F$428,F$428,Tabell2[[#This Row],[Befvekst10]]))</f>
        <v>8.3914799853103128E-2</v>
      </c>
      <c r="P199" s="32">
        <f>IF(Tabell2[[#This Row],[Kvinneandel]]&lt;=G$427,G$427,IF(Tabell2[[#This Row],[Kvinneandel]]&gt;=G$428,G$428,Tabell2[[#This Row],[Kvinneandel]]))</f>
        <v>0.11426393359308826</v>
      </c>
      <c r="Q199" s="32">
        <f>IF(Tabell2[[#This Row],[Eldreandel]]&lt;=H$427,H$427,IF(Tabell2[[#This Row],[Eldreandel]]&gt;=H$428,H$428,Tabell2[[#This Row],[Eldreandel]]))</f>
        <v>0.14518041673725224</v>
      </c>
      <c r="R199" s="32">
        <f>IF(Tabell2[[#This Row],[Sysselsettingsvekst10]]&lt;=I$427,I$427,IF(Tabell2[[#This Row],[Sysselsettingsvekst10]]&gt;=I$428,I$428,Tabell2[[#This Row],[Sysselsettingsvekst10]]))</f>
        <v>2.9601602492766554E-2</v>
      </c>
      <c r="S199" s="32">
        <f>IF(Tabell2[[#This Row],[Yrkesaktivandel]]&lt;=J$427,J$427,IF(Tabell2[[#This Row],[Yrkesaktivandel]]&gt;=J$428,J$428,Tabell2[[#This Row],[Yrkesaktivandel]]))</f>
        <v>0.84776621787025708</v>
      </c>
      <c r="T199" s="67">
        <f>IF(Tabell2[[#This Row],[Inntekt]]&lt;=K$427,K$427,IF(Tabell2[[#This Row],[Inntekt]]&gt;=K$428,K$428,Tabell2[[#This Row],[Inntekt]]))</f>
        <v>449160</v>
      </c>
      <c r="U199" s="10">
        <f>IF(Tabell2[[#This Row],[NIBR11-T]]&lt;=L$430,100,IF(Tabell2[[#This Row],[NIBR11-T]]&gt;=L$429,0,100*(L$429-Tabell2[[#This Row],[NIBR11-T]])/L$432))</f>
        <v>50</v>
      </c>
      <c r="V199" s="10">
        <f>(M$429-Tabell2[[#This Row],[ReisetidOslo-T]])*100/M$432</f>
        <v>41.392263184998946</v>
      </c>
      <c r="W199" s="10">
        <f>100-(N$429-Tabell2[[#This Row],[Beftettotal-T]])*100/N$432</f>
        <v>34.759146489476407</v>
      </c>
      <c r="X199" s="10">
        <f>100-(O$429-Tabell2[[#This Row],[Befvekst10-T]])*100/O$432</f>
        <v>59.637053698899216</v>
      </c>
      <c r="Y199" s="10">
        <f>100-(P$429-Tabell2[[#This Row],[Kvinneandel-T]])*100/P$432</f>
        <v>64.308396110315613</v>
      </c>
      <c r="Z199" s="10">
        <f>(Q$429-Tabell2[[#This Row],[Eldreandel-T]])*100/Q$432</f>
        <v>83.971609855551719</v>
      </c>
      <c r="AA199" s="10">
        <f>100-(R$429-Tabell2[[#This Row],[Sysselsettingsvekst10-T]])*100/R$432</f>
        <v>47.71918070540044</v>
      </c>
      <c r="AB199" s="10">
        <f>100-(S$429-Tabell2[[#This Row],[Yrkesaktivandel-T]])*100/S$432</f>
        <v>39.341510342327233</v>
      </c>
      <c r="AC199" s="10">
        <f>100-(T$429-Tabell2[[#This Row],[Inntekt-T]])*100/T$432</f>
        <v>100</v>
      </c>
      <c r="AD19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55.662621110293514</v>
      </c>
    </row>
    <row r="200" spans="1:30" x14ac:dyDescent="0.25">
      <c r="A200" s="2" t="s">
        <v>194</v>
      </c>
      <c r="B200" s="2">
        <v>198</v>
      </c>
      <c r="C200">
        <f>'Rådata-K'!N199</f>
        <v>6</v>
      </c>
      <c r="D200" s="30">
        <f>'Rådata-K'!M199</f>
        <v>172.9375</v>
      </c>
      <c r="E200" s="32">
        <f>'Rådata-K'!O199</f>
        <v>130.98336697056163</v>
      </c>
      <c r="F200" s="32">
        <f>'Rådata-K'!P199</f>
        <v>0.11697329376854593</v>
      </c>
      <c r="G200" s="32">
        <f>'Rådata-K'!Q199</f>
        <v>0.12581690664683068</v>
      </c>
      <c r="H200" s="32">
        <f>'Rådata-K'!R199</f>
        <v>0.13591201317677062</v>
      </c>
      <c r="I200" s="32">
        <f>'Rådata-K'!S199</f>
        <v>1.2858884824298755E-2</v>
      </c>
      <c r="J200" s="32">
        <f>'Rådata-K'!T199</f>
        <v>0.83779048321652527</v>
      </c>
      <c r="K200" s="67">
        <f>'Rådata-K'!L199</f>
        <v>435100</v>
      </c>
      <c r="L200" s="18">
        <f>Tabell2[[#This Row],[NIBR11]]</f>
        <v>6</v>
      </c>
      <c r="M200" s="32">
        <f>IF(Tabell2[[#This Row],[ReisetidOslo]]&lt;=D$427,D$427,IF(Tabell2[[#This Row],[ReisetidOslo]]&gt;=D$428,D$428,Tabell2[[#This Row],[ReisetidOslo]]))</f>
        <v>172.9375</v>
      </c>
      <c r="N200" s="32">
        <f>IF(Tabell2[[#This Row],[Beftettotal]]&lt;=E$427,E$427,IF(Tabell2[[#This Row],[Beftettotal]]&gt;=E$428,E$428,Tabell2[[#This Row],[Beftettotal]]))</f>
        <v>130.98336697056163</v>
      </c>
      <c r="O200" s="32">
        <f>IF(Tabell2[[#This Row],[Befvekst10]]&lt;=F$427,F$427,IF(Tabell2[[#This Row],[Befvekst10]]&gt;=F$428,F$428,Tabell2[[#This Row],[Befvekst10]]))</f>
        <v>0.11697329376854593</v>
      </c>
      <c r="P200" s="32">
        <f>IF(Tabell2[[#This Row],[Kvinneandel]]&lt;=G$427,G$427,IF(Tabell2[[#This Row],[Kvinneandel]]&gt;=G$428,G$428,Tabell2[[#This Row],[Kvinneandel]]))</f>
        <v>0.12581690664683068</v>
      </c>
      <c r="Q200" s="32">
        <f>IF(Tabell2[[#This Row],[Eldreandel]]&lt;=H$427,H$427,IF(Tabell2[[#This Row],[Eldreandel]]&gt;=H$428,H$428,Tabell2[[#This Row],[Eldreandel]]))</f>
        <v>0.13591201317677062</v>
      </c>
      <c r="R200" s="32">
        <f>IF(Tabell2[[#This Row],[Sysselsettingsvekst10]]&lt;=I$427,I$427,IF(Tabell2[[#This Row],[Sysselsettingsvekst10]]&gt;=I$428,I$428,Tabell2[[#This Row],[Sysselsettingsvekst10]]))</f>
        <v>1.2858884824298755E-2</v>
      </c>
      <c r="S200" s="32">
        <f>IF(Tabell2[[#This Row],[Yrkesaktivandel]]&lt;=J$427,J$427,IF(Tabell2[[#This Row],[Yrkesaktivandel]]&gt;=J$428,J$428,Tabell2[[#This Row],[Yrkesaktivandel]]))</f>
        <v>0.83779048321652527</v>
      </c>
      <c r="T200" s="67">
        <f>IF(Tabell2[[#This Row],[Inntekt]]&lt;=K$427,K$427,IF(Tabell2[[#This Row],[Inntekt]]&gt;=K$428,K$428,Tabell2[[#This Row],[Inntekt]]))</f>
        <v>435100</v>
      </c>
      <c r="U200" s="10">
        <f>IF(Tabell2[[#This Row],[NIBR11-T]]&lt;=L$430,100,IF(Tabell2[[#This Row],[NIBR11-T]]&gt;=L$429,0,100*(L$429-Tabell2[[#This Row],[NIBR11-T]])/L$432))</f>
        <v>50</v>
      </c>
      <c r="V200" s="10">
        <f>(M$429-Tabell2[[#This Row],[ReisetidOslo-T]])*100/M$432</f>
        <v>49.026082215019244</v>
      </c>
      <c r="W200" s="10">
        <f>100-(N$429-Tabell2[[#This Row],[Beftettotal-T]])*100/N$432</f>
        <v>96.694435248744085</v>
      </c>
      <c r="X200" s="10">
        <f>100-(O$429-Tabell2[[#This Row],[Befvekst10-T]])*100/O$432</f>
        <v>73.877819972624678</v>
      </c>
      <c r="Y200" s="10">
        <f>100-(P$429-Tabell2[[#This Row],[Kvinneandel-T]])*100/P$432</f>
        <v>94.823300723678685</v>
      </c>
      <c r="Z200" s="10">
        <f>(Q$429-Tabell2[[#This Row],[Eldreandel-T]])*100/Q$432</f>
        <v>93.96862365742102</v>
      </c>
      <c r="AA200" s="10">
        <f>100-(R$429-Tabell2[[#This Row],[Sysselsettingsvekst10-T]])*100/R$432</f>
        <v>41.861839108514651</v>
      </c>
      <c r="AB200" s="10">
        <f>100-(S$429-Tabell2[[#This Row],[Yrkesaktivandel-T]])*100/S$432</f>
        <v>31.603893010931529</v>
      </c>
      <c r="AC200" s="10">
        <f>100-(T$429-Tabell2[[#This Row],[Inntekt-T]])*100/T$432</f>
        <v>84.382983449961131</v>
      </c>
      <c r="AD20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64.57208351689701</v>
      </c>
    </row>
    <row r="201" spans="1:30" x14ac:dyDescent="0.25">
      <c r="A201" s="2" t="s">
        <v>195</v>
      </c>
      <c r="B201" s="2">
        <v>199</v>
      </c>
      <c r="C201">
        <f>'Rådata-K'!N200</f>
        <v>6</v>
      </c>
      <c r="D201" s="30">
        <f>'Rådata-K'!M200</f>
        <v>176.4375</v>
      </c>
      <c r="E201" s="32">
        <f>'Rådata-K'!O200</f>
        <v>22.389945938355687</v>
      </c>
      <c r="F201" s="32">
        <f>'Rådata-K'!P200</f>
        <v>0.10079392474974114</v>
      </c>
      <c r="G201" s="32">
        <f>'Rådata-K'!Q200</f>
        <v>0.11163374098463469</v>
      </c>
      <c r="H201" s="32">
        <f>'Rådata-K'!R200</f>
        <v>0.13295703982439636</v>
      </c>
      <c r="I201" s="32">
        <f>'Rådata-K'!S200</f>
        <v>0.15094339622641506</v>
      </c>
      <c r="J201" s="32">
        <f>'Rådata-K'!T200</f>
        <v>0.87520798668885191</v>
      </c>
      <c r="K201" s="67">
        <f>'Rådata-K'!L200</f>
        <v>437800</v>
      </c>
      <c r="L201" s="18">
        <f>Tabell2[[#This Row],[NIBR11]]</f>
        <v>6</v>
      </c>
      <c r="M201" s="32">
        <f>IF(Tabell2[[#This Row],[ReisetidOslo]]&lt;=D$427,D$427,IF(Tabell2[[#This Row],[ReisetidOslo]]&gt;=D$428,D$428,Tabell2[[#This Row],[ReisetidOslo]]))</f>
        <v>176.4375</v>
      </c>
      <c r="N201" s="32">
        <f>IF(Tabell2[[#This Row],[Beftettotal]]&lt;=E$427,E$427,IF(Tabell2[[#This Row],[Beftettotal]]&gt;=E$428,E$428,Tabell2[[#This Row],[Beftettotal]]))</f>
        <v>22.389945938355687</v>
      </c>
      <c r="O201" s="32">
        <f>IF(Tabell2[[#This Row],[Befvekst10]]&lt;=F$427,F$427,IF(Tabell2[[#This Row],[Befvekst10]]&gt;=F$428,F$428,Tabell2[[#This Row],[Befvekst10]]))</f>
        <v>0.10079392474974114</v>
      </c>
      <c r="P201" s="32">
        <f>IF(Tabell2[[#This Row],[Kvinneandel]]&lt;=G$427,G$427,IF(Tabell2[[#This Row],[Kvinneandel]]&gt;=G$428,G$428,Tabell2[[#This Row],[Kvinneandel]]))</f>
        <v>0.11163374098463469</v>
      </c>
      <c r="Q201" s="32">
        <f>IF(Tabell2[[#This Row],[Eldreandel]]&lt;=H$427,H$427,IF(Tabell2[[#This Row],[Eldreandel]]&gt;=H$428,H$428,Tabell2[[#This Row],[Eldreandel]]))</f>
        <v>0.13295703982439636</v>
      </c>
      <c r="R201" s="32">
        <f>IF(Tabell2[[#This Row],[Sysselsettingsvekst10]]&lt;=I$427,I$427,IF(Tabell2[[#This Row],[Sysselsettingsvekst10]]&gt;=I$428,I$428,Tabell2[[#This Row],[Sysselsettingsvekst10]]))</f>
        <v>0.15094339622641506</v>
      </c>
      <c r="S201" s="32">
        <f>IF(Tabell2[[#This Row],[Yrkesaktivandel]]&lt;=J$427,J$427,IF(Tabell2[[#This Row],[Yrkesaktivandel]]&gt;=J$428,J$428,Tabell2[[#This Row],[Yrkesaktivandel]]))</f>
        <v>0.87520798668885191</v>
      </c>
      <c r="T201" s="67">
        <f>IF(Tabell2[[#This Row],[Inntekt]]&lt;=K$427,K$427,IF(Tabell2[[#This Row],[Inntekt]]&gt;=K$428,K$428,Tabell2[[#This Row],[Inntekt]]))</f>
        <v>437800</v>
      </c>
      <c r="U201" s="10">
        <f>IF(Tabell2[[#This Row],[NIBR11-T]]&lt;=L$430,100,IF(Tabell2[[#This Row],[NIBR11-T]]&gt;=L$429,0,100*(L$429-Tabell2[[#This Row],[NIBR11-T]])/L$432))</f>
        <v>50</v>
      </c>
      <c r="V201" s="10">
        <f>(M$429-Tabell2[[#This Row],[ReisetidOslo-T]])*100/M$432</f>
        <v>47.518167344891779</v>
      </c>
      <c r="W201" s="10">
        <f>100-(N$429-Tabell2[[#This Row],[Beftettotal-T]])*100/N$432</f>
        <v>15.759122056367417</v>
      </c>
      <c r="X201" s="10">
        <f>100-(O$429-Tabell2[[#This Row],[Befvekst10-T]])*100/O$432</f>
        <v>66.90815543671178</v>
      </c>
      <c r="Y201" s="10">
        <f>100-(P$429-Tabell2[[#This Row],[Kvinneandel-T]])*100/P$432</f>
        <v>57.361259975887059</v>
      </c>
      <c r="Z201" s="10">
        <f>(Q$429-Tabell2[[#This Row],[Eldreandel-T]])*100/Q$432</f>
        <v>97.155894172248111</v>
      </c>
      <c r="AA201" s="10">
        <f>100-(R$429-Tabell2[[#This Row],[Sysselsettingsvekst10-T]])*100/R$432</f>
        <v>90.169895693887611</v>
      </c>
      <c r="AB201" s="10">
        <f>100-(S$429-Tabell2[[#This Row],[Yrkesaktivandel-T]])*100/S$432</f>
        <v>60.626549829166642</v>
      </c>
      <c r="AC201" s="10">
        <f>100-(T$429-Tabell2[[#This Row],[Inntekt-T]])*100/T$432</f>
        <v>87.381983783183387</v>
      </c>
      <c r="AD20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61.253060665498801</v>
      </c>
    </row>
    <row r="202" spans="1:30" x14ac:dyDescent="0.25">
      <c r="A202" s="2" t="s">
        <v>196</v>
      </c>
      <c r="B202" s="2">
        <v>200</v>
      </c>
      <c r="C202">
        <f>'Rådata-K'!N201</f>
        <v>6</v>
      </c>
      <c r="D202" s="30">
        <f>'Rådata-K'!M201</f>
        <v>210.875</v>
      </c>
      <c r="E202" s="32">
        <f>'Rådata-K'!O201</f>
        <v>11.159891811375486</v>
      </c>
      <c r="F202" s="32">
        <f>'Rådata-K'!P201</f>
        <v>3.4144569560479399E-2</v>
      </c>
      <c r="G202" s="32">
        <f>'Rådata-K'!Q201</f>
        <v>0.10467158412363892</v>
      </c>
      <c r="H202" s="32">
        <f>'Rådata-K'!R201</f>
        <v>0.21917808219178081</v>
      </c>
      <c r="I202" s="32">
        <f>'Rådata-K'!S201</f>
        <v>0.1634712411705348</v>
      </c>
      <c r="J202" s="32">
        <f>'Rådata-K'!T201</f>
        <v>0.8933774834437086</v>
      </c>
      <c r="K202" s="67">
        <f>'Rådata-K'!L201</f>
        <v>415600</v>
      </c>
      <c r="L202" s="18">
        <f>Tabell2[[#This Row],[NIBR11]]</f>
        <v>6</v>
      </c>
      <c r="M202" s="32">
        <f>IF(Tabell2[[#This Row],[ReisetidOslo]]&lt;=D$427,D$427,IF(Tabell2[[#This Row],[ReisetidOslo]]&gt;=D$428,D$428,Tabell2[[#This Row],[ReisetidOslo]]))</f>
        <v>210.875</v>
      </c>
      <c r="N202" s="32">
        <f>IF(Tabell2[[#This Row],[Beftettotal]]&lt;=E$427,E$427,IF(Tabell2[[#This Row],[Beftettotal]]&gt;=E$428,E$428,Tabell2[[#This Row],[Beftettotal]]))</f>
        <v>11.159891811375486</v>
      </c>
      <c r="O202" s="32">
        <f>IF(Tabell2[[#This Row],[Befvekst10]]&lt;=F$427,F$427,IF(Tabell2[[#This Row],[Befvekst10]]&gt;=F$428,F$428,Tabell2[[#This Row],[Befvekst10]]))</f>
        <v>3.4144569560479399E-2</v>
      </c>
      <c r="P202" s="32">
        <f>IF(Tabell2[[#This Row],[Kvinneandel]]&lt;=G$427,G$427,IF(Tabell2[[#This Row],[Kvinneandel]]&gt;=G$428,G$428,Tabell2[[#This Row],[Kvinneandel]]))</f>
        <v>0.10467158412363892</v>
      </c>
      <c r="Q202" s="32">
        <f>IF(Tabell2[[#This Row],[Eldreandel]]&lt;=H$427,H$427,IF(Tabell2[[#This Row],[Eldreandel]]&gt;=H$428,H$428,Tabell2[[#This Row],[Eldreandel]]))</f>
        <v>0.21917808219178081</v>
      </c>
      <c r="R202" s="32">
        <f>IF(Tabell2[[#This Row],[Sysselsettingsvekst10]]&lt;=I$427,I$427,IF(Tabell2[[#This Row],[Sysselsettingsvekst10]]&gt;=I$428,I$428,Tabell2[[#This Row],[Sysselsettingsvekst10]]))</f>
        <v>0.1634712411705348</v>
      </c>
      <c r="S202" s="32">
        <f>IF(Tabell2[[#This Row],[Yrkesaktivandel]]&lt;=J$427,J$427,IF(Tabell2[[#This Row],[Yrkesaktivandel]]&gt;=J$428,J$428,Tabell2[[#This Row],[Yrkesaktivandel]]))</f>
        <v>0.8933774834437086</v>
      </c>
      <c r="T202" s="67">
        <f>IF(Tabell2[[#This Row],[Inntekt]]&lt;=K$427,K$427,IF(Tabell2[[#This Row],[Inntekt]]&gt;=K$428,K$428,Tabell2[[#This Row],[Inntekt]]))</f>
        <v>415600</v>
      </c>
      <c r="U202" s="10">
        <f>IF(Tabell2[[#This Row],[NIBR11-T]]&lt;=L$430,100,IF(Tabell2[[#This Row],[NIBR11-T]]&gt;=L$429,0,100*(L$429-Tabell2[[#This Row],[NIBR11-T]])/L$432))</f>
        <v>50</v>
      </c>
      <c r="V202" s="10">
        <f>(M$429-Tabell2[[#This Row],[ReisetidOslo-T]])*100/M$432</f>
        <v>32.681362104887612</v>
      </c>
      <c r="W202" s="10">
        <f>100-(N$429-Tabell2[[#This Row],[Beftettotal-T]])*100/N$432</f>
        <v>7.3892968929726095</v>
      </c>
      <c r="X202" s="10">
        <f>100-(O$429-Tabell2[[#This Row],[Befvekst10-T]])*100/O$432</f>
        <v>38.197292444208308</v>
      </c>
      <c r="Y202" s="10">
        <f>100-(P$429-Tabell2[[#This Row],[Kvinneandel-T]])*100/P$432</f>
        <v>38.972092830055516</v>
      </c>
      <c r="Z202" s="10">
        <f>(Q$429-Tabell2[[#This Row],[Eldreandel-T]])*100/Q$432</f>
        <v>4.1568199591362225</v>
      </c>
      <c r="AA202" s="10">
        <f>100-(R$429-Tabell2[[#This Row],[Sysselsettingsvekst10-T]])*100/R$432</f>
        <v>94.552688784206921</v>
      </c>
      <c r="AB202" s="10">
        <f>100-(S$429-Tabell2[[#This Row],[Yrkesaktivandel-T]])*100/S$432</f>
        <v>74.719608423154455</v>
      </c>
      <c r="AC202" s="10">
        <f>100-(T$429-Tabell2[[#This Row],[Inntekt-T]])*100/T$432</f>
        <v>62.723536598911473</v>
      </c>
      <c r="AD20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47.002553408714554</v>
      </c>
    </row>
    <row r="203" spans="1:30" x14ac:dyDescent="0.25">
      <c r="A203" s="2" t="s">
        <v>197</v>
      </c>
      <c r="B203" s="2">
        <v>201</v>
      </c>
      <c r="C203">
        <f>'Rådata-K'!N202</f>
        <v>8</v>
      </c>
      <c r="D203" s="30">
        <f>'Rådata-K'!M202</f>
        <v>277.4375</v>
      </c>
      <c r="E203" s="32">
        <f>'Rådata-K'!O202</f>
        <v>12.139464950400646</v>
      </c>
      <c r="F203" s="32">
        <f>'Rådata-K'!P202</f>
        <v>1.6037446286065071E-2</v>
      </c>
      <c r="G203" s="32">
        <f>'Rådata-K'!Q202</f>
        <v>0.10346650555094027</v>
      </c>
      <c r="H203" s="32">
        <f>'Rådata-K'!R202</f>
        <v>0.18223699116380937</v>
      </c>
      <c r="I203" s="32">
        <f>'Rådata-K'!S202</f>
        <v>-5.642361111111116E-2</v>
      </c>
      <c r="J203" s="32">
        <f>'Rådata-K'!T202</f>
        <v>0.85728250244379278</v>
      </c>
      <c r="K203" s="67">
        <f>'Rådata-K'!L202</f>
        <v>404400</v>
      </c>
      <c r="L203" s="18">
        <f>Tabell2[[#This Row],[NIBR11]]</f>
        <v>8</v>
      </c>
      <c r="M203" s="32">
        <f>IF(Tabell2[[#This Row],[ReisetidOslo]]&lt;=D$427,D$427,IF(Tabell2[[#This Row],[ReisetidOslo]]&gt;=D$428,D$428,Tabell2[[#This Row],[ReisetidOslo]]))</f>
        <v>277.4375</v>
      </c>
      <c r="N203" s="32">
        <f>IF(Tabell2[[#This Row],[Beftettotal]]&lt;=E$427,E$427,IF(Tabell2[[#This Row],[Beftettotal]]&gt;=E$428,E$428,Tabell2[[#This Row],[Beftettotal]]))</f>
        <v>12.139464950400646</v>
      </c>
      <c r="O203" s="32">
        <f>IF(Tabell2[[#This Row],[Befvekst10]]&lt;=F$427,F$427,IF(Tabell2[[#This Row],[Befvekst10]]&gt;=F$428,F$428,Tabell2[[#This Row],[Befvekst10]]))</f>
        <v>1.6037446286065071E-2</v>
      </c>
      <c r="P203" s="32">
        <f>IF(Tabell2[[#This Row],[Kvinneandel]]&lt;=G$427,G$427,IF(Tabell2[[#This Row],[Kvinneandel]]&gt;=G$428,G$428,Tabell2[[#This Row],[Kvinneandel]]))</f>
        <v>0.10346650555094027</v>
      </c>
      <c r="Q203" s="32">
        <f>IF(Tabell2[[#This Row],[Eldreandel]]&lt;=H$427,H$427,IF(Tabell2[[#This Row],[Eldreandel]]&gt;=H$428,H$428,Tabell2[[#This Row],[Eldreandel]]))</f>
        <v>0.18223699116380937</v>
      </c>
      <c r="R203" s="32">
        <f>IF(Tabell2[[#This Row],[Sysselsettingsvekst10]]&lt;=I$427,I$427,IF(Tabell2[[#This Row],[Sysselsettingsvekst10]]&gt;=I$428,I$428,Tabell2[[#This Row],[Sysselsettingsvekst10]]))</f>
        <v>-5.642361111111116E-2</v>
      </c>
      <c r="S203" s="32">
        <f>IF(Tabell2[[#This Row],[Yrkesaktivandel]]&lt;=J$427,J$427,IF(Tabell2[[#This Row],[Yrkesaktivandel]]&gt;=J$428,J$428,Tabell2[[#This Row],[Yrkesaktivandel]]))</f>
        <v>0.85728250244379278</v>
      </c>
      <c r="T203" s="67">
        <f>IF(Tabell2[[#This Row],[Inntekt]]&lt;=K$427,K$427,IF(Tabell2[[#This Row],[Inntekt]]&gt;=K$428,K$428,Tabell2[[#This Row],[Inntekt]]))</f>
        <v>404400</v>
      </c>
      <c r="U203" s="10">
        <f>IF(Tabell2[[#This Row],[NIBR11-T]]&lt;=L$430,100,IF(Tabell2[[#This Row],[NIBR11-T]]&gt;=L$429,0,100*(L$429-Tabell2[[#This Row],[NIBR11-T]])/L$432))</f>
        <v>30</v>
      </c>
      <c r="V203" s="10">
        <f>(M$429-Tabell2[[#This Row],[ReisetidOslo-T]])*100/M$432</f>
        <v>4.0040525212134863</v>
      </c>
      <c r="W203" s="10">
        <f>100-(N$429-Tabell2[[#This Row],[Beftettotal-T]])*100/N$432</f>
        <v>8.1193784950461634</v>
      </c>
      <c r="X203" s="10">
        <f>100-(O$429-Tabell2[[#This Row],[Befvekst10-T]])*100/O$432</f>
        <v>30.397199944531124</v>
      </c>
      <c r="Y203" s="10">
        <f>100-(P$429-Tabell2[[#This Row],[Kvinneandel-T]])*100/P$432</f>
        <v>35.789114948392836</v>
      </c>
      <c r="Z203" s="10">
        <f>(Q$429-Tabell2[[#This Row],[Eldreandel-T]])*100/Q$432</f>
        <v>44.001934002007125</v>
      </c>
      <c r="AA203" s="10">
        <f>100-(R$429-Tabell2[[#This Row],[Sysselsettingsvekst10-T]])*100/R$432</f>
        <v>17.623764178610827</v>
      </c>
      <c r="AB203" s="10">
        <f>100-(S$429-Tabell2[[#This Row],[Yrkesaktivandel-T]])*100/S$432</f>
        <v>46.722758040123416</v>
      </c>
      <c r="AC203" s="10">
        <f>100-(T$429-Tabell2[[#This Row],[Inntekt-T]])*100/T$432</f>
        <v>50.283238920359878</v>
      </c>
      <c r="AD20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28.744311651961606</v>
      </c>
    </row>
    <row r="204" spans="1:30" x14ac:dyDescent="0.25">
      <c r="A204" s="2" t="s">
        <v>198</v>
      </c>
      <c r="B204" s="2">
        <v>202</v>
      </c>
      <c r="C204">
        <f>'Rådata-K'!N203</f>
        <v>9</v>
      </c>
      <c r="D204" s="30">
        <f>'Rådata-K'!M203</f>
        <v>255.125</v>
      </c>
      <c r="E204" s="32">
        <f>'Rådata-K'!O203</f>
        <v>4.4845590318533208</v>
      </c>
      <c r="F204" s="32">
        <f>'Rådata-K'!P203</f>
        <v>4.924242424242431E-2</v>
      </c>
      <c r="G204" s="32">
        <f>'Rådata-K'!Q203</f>
        <v>0.10740072202166065</v>
      </c>
      <c r="H204" s="32">
        <f>'Rådata-K'!R203</f>
        <v>0.22472924187725632</v>
      </c>
      <c r="I204" s="32">
        <f>'Rådata-K'!S203</f>
        <v>-0.18852459016393441</v>
      </c>
      <c r="J204" s="32">
        <f>'Rådata-K'!T203</f>
        <v>0.9015544041450777</v>
      </c>
      <c r="K204" s="67">
        <f>'Rådata-K'!L203</f>
        <v>381000</v>
      </c>
      <c r="L204" s="18">
        <f>Tabell2[[#This Row],[NIBR11]]</f>
        <v>9</v>
      </c>
      <c r="M204" s="32">
        <f>IF(Tabell2[[#This Row],[ReisetidOslo]]&lt;=D$427,D$427,IF(Tabell2[[#This Row],[ReisetidOslo]]&gt;=D$428,D$428,Tabell2[[#This Row],[ReisetidOslo]]))</f>
        <v>255.125</v>
      </c>
      <c r="N204" s="32">
        <f>IF(Tabell2[[#This Row],[Beftettotal]]&lt;=E$427,E$427,IF(Tabell2[[#This Row],[Beftettotal]]&gt;=E$428,E$428,Tabell2[[#This Row],[Beftettotal]]))</f>
        <v>4.4845590318533208</v>
      </c>
      <c r="O204" s="32">
        <f>IF(Tabell2[[#This Row],[Befvekst10]]&lt;=F$427,F$427,IF(Tabell2[[#This Row],[Befvekst10]]&gt;=F$428,F$428,Tabell2[[#This Row],[Befvekst10]]))</f>
        <v>4.924242424242431E-2</v>
      </c>
      <c r="P204" s="32">
        <f>IF(Tabell2[[#This Row],[Kvinneandel]]&lt;=G$427,G$427,IF(Tabell2[[#This Row],[Kvinneandel]]&gt;=G$428,G$428,Tabell2[[#This Row],[Kvinneandel]]))</f>
        <v>0.10740072202166065</v>
      </c>
      <c r="Q204" s="32">
        <f>IF(Tabell2[[#This Row],[Eldreandel]]&lt;=H$427,H$427,IF(Tabell2[[#This Row],[Eldreandel]]&gt;=H$428,H$428,Tabell2[[#This Row],[Eldreandel]]))</f>
        <v>0.22303194152148736</v>
      </c>
      <c r="R204" s="32">
        <f>IF(Tabell2[[#This Row],[Sysselsettingsvekst10]]&lt;=I$427,I$427,IF(Tabell2[[#This Row],[Sysselsettingsvekst10]]&gt;=I$428,I$428,Tabell2[[#This Row],[Sysselsettingsvekst10]]))</f>
        <v>-0.10679965679965678</v>
      </c>
      <c r="S204" s="32">
        <f>IF(Tabell2[[#This Row],[Yrkesaktivandel]]&lt;=J$427,J$427,IF(Tabell2[[#This Row],[Yrkesaktivandel]]&gt;=J$428,J$428,Tabell2[[#This Row],[Yrkesaktivandel]]))</f>
        <v>0.9015544041450777</v>
      </c>
      <c r="T204" s="67">
        <f>IF(Tabell2[[#This Row],[Inntekt]]&lt;=K$427,K$427,IF(Tabell2[[#This Row],[Inntekt]]&gt;=K$428,K$428,Tabell2[[#This Row],[Inntekt]]))</f>
        <v>381000</v>
      </c>
      <c r="U204" s="10">
        <f>IF(Tabell2[[#This Row],[NIBR11-T]]&lt;=L$430,100,IF(Tabell2[[#This Row],[NIBR11-T]]&gt;=L$429,0,100*(L$429-Tabell2[[#This Row],[NIBR11-T]])/L$432))</f>
        <v>20</v>
      </c>
      <c r="V204" s="10">
        <f>(M$429-Tabell2[[#This Row],[ReisetidOslo-T]])*100/M$432</f>
        <v>13.617009818276079</v>
      </c>
      <c r="W204" s="10">
        <f>100-(N$429-Tabell2[[#This Row],[Beftettotal-T]])*100/N$432</f>
        <v>2.414132246361703</v>
      </c>
      <c r="X204" s="10">
        <f>100-(O$429-Tabell2[[#This Row],[Befvekst10-T]])*100/O$432</f>
        <v>44.701067852434406</v>
      </c>
      <c r="Y204" s="10">
        <f>100-(P$429-Tabell2[[#This Row],[Kvinneandel-T]])*100/P$432</f>
        <v>46.180573473734512</v>
      </c>
      <c r="Z204" s="10">
        <f>(Q$429-Tabell2[[#This Row],[Eldreandel-T]])*100/Q$432</f>
        <v>0</v>
      </c>
      <c r="AA204" s="10">
        <f>100-(R$429-Tabell2[[#This Row],[Sysselsettingsvekst10-T]])*100/R$432</f>
        <v>0</v>
      </c>
      <c r="AB204" s="10">
        <f>100-(S$429-Tabell2[[#This Row],[Yrkesaktivandel-T]])*100/S$432</f>
        <v>81.061986757435179</v>
      </c>
      <c r="AC204" s="10">
        <f>100-(T$429-Tabell2[[#This Row],[Inntekt-T]])*100/T$432</f>
        <v>24.291902699100305</v>
      </c>
      <c r="AD20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27.387745396290939</v>
      </c>
    </row>
    <row r="205" spans="1:30" x14ac:dyDescent="0.25">
      <c r="A205" s="2" t="s">
        <v>199</v>
      </c>
      <c r="B205" s="2">
        <v>203</v>
      </c>
      <c r="C205">
        <f>'Rådata-K'!N204</f>
        <v>7</v>
      </c>
      <c r="D205" s="30">
        <f>'Rådata-K'!M204</f>
        <v>267</v>
      </c>
      <c r="E205" s="32">
        <f>'Rådata-K'!O204</f>
        <v>4.3474493932136467</v>
      </c>
      <c r="F205" s="32">
        <f>'Rådata-K'!P204</f>
        <v>-1.803187028235953E-2</v>
      </c>
      <c r="G205" s="32">
        <f>'Rådata-K'!Q204</f>
        <v>0.10775800711743773</v>
      </c>
      <c r="H205" s="32">
        <f>'Rådata-K'!R204</f>
        <v>0.19587188612099643</v>
      </c>
      <c r="I205" s="32">
        <f>'Rådata-K'!S204</f>
        <v>-2.385575589459088E-2</v>
      </c>
      <c r="J205" s="32">
        <f>'Rådata-K'!T204</f>
        <v>0.83753148614609574</v>
      </c>
      <c r="K205" s="67">
        <f>'Rådata-K'!L204</f>
        <v>404200</v>
      </c>
      <c r="L205" s="18">
        <f>Tabell2[[#This Row],[NIBR11]]</f>
        <v>7</v>
      </c>
      <c r="M205" s="32">
        <f>IF(Tabell2[[#This Row],[ReisetidOslo]]&lt;=D$427,D$427,IF(Tabell2[[#This Row],[ReisetidOslo]]&gt;=D$428,D$428,Tabell2[[#This Row],[ReisetidOslo]]))</f>
        <v>267</v>
      </c>
      <c r="N205" s="32">
        <f>IF(Tabell2[[#This Row],[Beftettotal]]&lt;=E$427,E$427,IF(Tabell2[[#This Row],[Beftettotal]]&gt;=E$428,E$428,Tabell2[[#This Row],[Beftettotal]]))</f>
        <v>4.3474493932136467</v>
      </c>
      <c r="O205" s="32">
        <f>IF(Tabell2[[#This Row],[Befvekst10]]&lt;=F$427,F$427,IF(Tabell2[[#This Row],[Befvekst10]]&gt;=F$428,F$428,Tabell2[[#This Row],[Befvekst10]]))</f>
        <v>-1.803187028235953E-2</v>
      </c>
      <c r="P205" s="32">
        <f>IF(Tabell2[[#This Row],[Kvinneandel]]&lt;=G$427,G$427,IF(Tabell2[[#This Row],[Kvinneandel]]&gt;=G$428,G$428,Tabell2[[#This Row],[Kvinneandel]]))</f>
        <v>0.10775800711743773</v>
      </c>
      <c r="Q205" s="32">
        <f>IF(Tabell2[[#This Row],[Eldreandel]]&lt;=H$427,H$427,IF(Tabell2[[#This Row],[Eldreandel]]&gt;=H$428,H$428,Tabell2[[#This Row],[Eldreandel]]))</f>
        <v>0.19587188612099643</v>
      </c>
      <c r="R205" s="32">
        <f>IF(Tabell2[[#This Row],[Sysselsettingsvekst10]]&lt;=I$427,I$427,IF(Tabell2[[#This Row],[Sysselsettingsvekst10]]&gt;=I$428,I$428,Tabell2[[#This Row],[Sysselsettingsvekst10]]))</f>
        <v>-2.385575589459088E-2</v>
      </c>
      <c r="S205" s="32">
        <f>IF(Tabell2[[#This Row],[Yrkesaktivandel]]&lt;=J$427,J$427,IF(Tabell2[[#This Row],[Yrkesaktivandel]]&gt;=J$428,J$428,Tabell2[[#This Row],[Yrkesaktivandel]]))</f>
        <v>0.83753148614609574</v>
      </c>
      <c r="T205" s="67">
        <f>IF(Tabell2[[#This Row],[Inntekt]]&lt;=K$427,K$427,IF(Tabell2[[#This Row],[Inntekt]]&gt;=K$428,K$428,Tabell2[[#This Row],[Inntekt]]))</f>
        <v>404200</v>
      </c>
      <c r="U205" s="10">
        <f>IF(Tabell2[[#This Row],[NIBR11-T]]&lt;=L$430,100,IF(Tabell2[[#This Row],[NIBR11-T]]&gt;=L$429,0,100*(L$429-Tabell2[[#This Row],[NIBR11-T]])/L$432))</f>
        <v>40</v>
      </c>
      <c r="V205" s="10">
        <f>(M$429-Tabell2[[#This Row],[ReisetidOslo-T]])*100/M$432</f>
        <v>8.5008700803436081</v>
      </c>
      <c r="W205" s="10">
        <f>100-(N$429-Tabell2[[#This Row],[Beftettotal-T]])*100/N$432</f>
        <v>2.3119436290447766</v>
      </c>
      <c r="X205" s="10">
        <f>100-(O$429-Tabell2[[#This Row],[Befvekst10-T]])*100/O$432</f>
        <v>15.720996739464482</v>
      </c>
      <c r="Y205" s="10">
        <f>100-(P$429-Tabell2[[#This Row],[Kvinneandel-T]])*100/P$432</f>
        <v>47.124271737955972</v>
      </c>
      <c r="Z205" s="10">
        <f>(Q$429-Tabell2[[#This Row],[Eldreandel-T]])*100/Q$432</f>
        <v>29.295169003639476</v>
      </c>
      <c r="AA205" s="10">
        <f>100-(R$429-Tabell2[[#This Row],[Sysselsettingsvekst10-T]])*100/R$432</f>
        <v>29.017437347952125</v>
      </c>
      <c r="AB205" s="10">
        <f>100-(S$429-Tabell2[[#This Row],[Yrkesaktivandel-T]])*100/S$432</f>
        <v>31.403003523540576</v>
      </c>
      <c r="AC205" s="10">
        <f>100-(T$429-Tabell2[[#This Row],[Inntekt-T]])*100/T$432</f>
        <v>50.061090747528603</v>
      </c>
      <c r="AD20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27.094605917813638</v>
      </c>
    </row>
    <row r="206" spans="1:30" x14ac:dyDescent="0.25">
      <c r="A206" s="2" t="s">
        <v>200</v>
      </c>
      <c r="B206" s="2">
        <v>204</v>
      </c>
      <c r="C206">
        <f>'Rådata-K'!N205</f>
        <v>7</v>
      </c>
      <c r="D206" s="30">
        <f>'Rådata-K'!M205</f>
        <v>272.875</v>
      </c>
      <c r="E206" s="32">
        <f>'Rådata-K'!O205</f>
        <v>2.4146782693256492</v>
      </c>
      <c r="F206" s="32">
        <f>'Rådata-K'!P205</f>
        <v>-1.1416861826697877E-2</v>
      </c>
      <c r="G206" s="32">
        <f>'Rådata-K'!Q205</f>
        <v>0.10423452768729642</v>
      </c>
      <c r="H206" s="32">
        <f>'Rådata-K'!R205</f>
        <v>0.20817293455729938</v>
      </c>
      <c r="I206" s="32">
        <f>'Rådata-K'!S205</f>
        <v>-0.10834553440702777</v>
      </c>
      <c r="J206" s="32">
        <f>'Rådata-K'!T205</f>
        <v>0.90713101160862353</v>
      </c>
      <c r="K206" s="67">
        <f>'Rådata-K'!L205</f>
        <v>381400</v>
      </c>
      <c r="L206" s="18">
        <f>Tabell2[[#This Row],[NIBR11]]</f>
        <v>7</v>
      </c>
      <c r="M206" s="32">
        <f>IF(Tabell2[[#This Row],[ReisetidOslo]]&lt;=D$427,D$427,IF(Tabell2[[#This Row],[ReisetidOslo]]&gt;=D$428,D$428,Tabell2[[#This Row],[ReisetidOslo]]))</f>
        <v>272.875</v>
      </c>
      <c r="N206" s="32">
        <f>IF(Tabell2[[#This Row],[Beftettotal]]&lt;=E$427,E$427,IF(Tabell2[[#This Row],[Beftettotal]]&gt;=E$428,E$428,Tabell2[[#This Row],[Beftettotal]]))</f>
        <v>2.4146782693256492</v>
      </c>
      <c r="O206" s="32">
        <f>IF(Tabell2[[#This Row],[Befvekst10]]&lt;=F$427,F$427,IF(Tabell2[[#This Row],[Befvekst10]]&gt;=F$428,F$428,Tabell2[[#This Row],[Befvekst10]]))</f>
        <v>-1.1416861826697877E-2</v>
      </c>
      <c r="P206" s="32">
        <f>IF(Tabell2[[#This Row],[Kvinneandel]]&lt;=G$427,G$427,IF(Tabell2[[#This Row],[Kvinneandel]]&gt;=G$428,G$428,Tabell2[[#This Row],[Kvinneandel]]))</f>
        <v>0.10423452768729642</v>
      </c>
      <c r="Q206" s="32">
        <f>IF(Tabell2[[#This Row],[Eldreandel]]&lt;=H$427,H$427,IF(Tabell2[[#This Row],[Eldreandel]]&gt;=H$428,H$428,Tabell2[[#This Row],[Eldreandel]]))</f>
        <v>0.20817293455729938</v>
      </c>
      <c r="R206" s="32">
        <f>IF(Tabell2[[#This Row],[Sysselsettingsvekst10]]&lt;=I$427,I$427,IF(Tabell2[[#This Row],[Sysselsettingsvekst10]]&gt;=I$428,I$428,Tabell2[[#This Row],[Sysselsettingsvekst10]]))</f>
        <v>-0.10679965679965678</v>
      </c>
      <c r="S206" s="32">
        <f>IF(Tabell2[[#This Row],[Yrkesaktivandel]]&lt;=J$427,J$427,IF(Tabell2[[#This Row],[Yrkesaktivandel]]&gt;=J$428,J$428,Tabell2[[#This Row],[Yrkesaktivandel]]))</f>
        <v>0.90713101160862353</v>
      </c>
      <c r="T206" s="67">
        <f>IF(Tabell2[[#This Row],[Inntekt]]&lt;=K$427,K$427,IF(Tabell2[[#This Row],[Inntekt]]&gt;=K$428,K$428,Tabell2[[#This Row],[Inntekt]]))</f>
        <v>381400</v>
      </c>
      <c r="U206" s="10">
        <f>IF(Tabell2[[#This Row],[NIBR11-T]]&lt;=L$430,100,IF(Tabell2[[#This Row],[NIBR11-T]]&gt;=L$429,0,100*(L$429-Tabell2[[#This Row],[NIBR11-T]])/L$432))</f>
        <v>40</v>
      </c>
      <c r="V206" s="10">
        <f>(M$429-Tabell2[[#This Row],[ReisetidOslo-T]])*100/M$432</f>
        <v>5.9697272626296467</v>
      </c>
      <c r="W206" s="10">
        <f>100-(N$429-Tabell2[[#This Row],[Beftettotal-T]])*100/N$432</f>
        <v>0.87143798188718335</v>
      </c>
      <c r="X206" s="10">
        <f>100-(O$429-Tabell2[[#This Row],[Befvekst10-T]])*100/O$432</f>
        <v>18.570575717767241</v>
      </c>
      <c r="Y206" s="10">
        <f>100-(P$429-Tabell2[[#This Row],[Kvinneandel-T]])*100/P$432</f>
        <v>37.817694269303452</v>
      </c>
      <c r="Z206" s="10">
        <f>(Q$429-Tabell2[[#This Row],[Eldreandel-T]])*100/Q$432</f>
        <v>16.027107228738373</v>
      </c>
      <c r="AA206" s="10">
        <f>100-(R$429-Tabell2[[#This Row],[Sysselsettingsvekst10-T]])*100/R$432</f>
        <v>0</v>
      </c>
      <c r="AB206" s="10">
        <f>100-(S$429-Tabell2[[#This Row],[Yrkesaktivandel-T]])*100/S$432</f>
        <v>85.387448095180474</v>
      </c>
      <c r="AC206" s="10">
        <f>100-(T$429-Tabell2[[#This Row],[Inntekt-T]])*100/T$432</f>
        <v>24.736199044762856</v>
      </c>
      <c r="AD20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26.102836456901557</v>
      </c>
    </row>
    <row r="207" spans="1:30" x14ac:dyDescent="0.25">
      <c r="A207" s="2" t="s">
        <v>201</v>
      </c>
      <c r="B207" s="2">
        <v>205</v>
      </c>
      <c r="C207">
        <f>'Rådata-K'!N206</f>
        <v>9</v>
      </c>
      <c r="D207" s="30">
        <f>'Rådata-K'!M206</f>
        <v>249</v>
      </c>
      <c r="E207" s="32">
        <f>'Rådata-K'!O206</f>
        <v>0.61751572284875222</v>
      </c>
      <c r="F207" s="32">
        <f>'Rådata-K'!P206</f>
        <v>6.5573770491802463E-3</v>
      </c>
      <c r="G207" s="32">
        <f>'Rådata-K'!Q206</f>
        <v>0.10532030401737243</v>
      </c>
      <c r="H207" s="32">
        <f>'Rådata-K'!R206</f>
        <v>0.18566775244299674</v>
      </c>
      <c r="I207" s="32">
        <f>'Rådata-K'!S206</f>
        <v>-5.3398058252427161E-2</v>
      </c>
      <c r="J207" s="32">
        <f>'Rådata-K'!T206</f>
        <v>0.92518248175182483</v>
      </c>
      <c r="K207" s="67">
        <f>'Rådata-K'!L206</f>
        <v>441700</v>
      </c>
      <c r="L207" s="18">
        <f>Tabell2[[#This Row],[NIBR11]]</f>
        <v>9</v>
      </c>
      <c r="M207" s="32">
        <f>IF(Tabell2[[#This Row],[ReisetidOslo]]&lt;=D$427,D$427,IF(Tabell2[[#This Row],[ReisetidOslo]]&gt;=D$428,D$428,Tabell2[[#This Row],[ReisetidOslo]]))</f>
        <v>249</v>
      </c>
      <c r="N207" s="32">
        <f>IF(Tabell2[[#This Row],[Beftettotal]]&lt;=E$427,E$427,IF(Tabell2[[#This Row],[Beftettotal]]&gt;=E$428,E$428,Tabell2[[#This Row],[Beftettotal]]))</f>
        <v>1.2454428893921135</v>
      </c>
      <c r="O207" s="32">
        <f>IF(Tabell2[[#This Row],[Befvekst10]]&lt;=F$427,F$427,IF(Tabell2[[#This Row],[Befvekst10]]&gt;=F$428,F$428,Tabell2[[#This Row],[Befvekst10]]))</f>
        <v>6.5573770491802463E-3</v>
      </c>
      <c r="P207" s="32">
        <f>IF(Tabell2[[#This Row],[Kvinneandel]]&lt;=G$427,G$427,IF(Tabell2[[#This Row],[Kvinneandel]]&gt;=G$428,G$428,Tabell2[[#This Row],[Kvinneandel]]))</f>
        <v>0.10532030401737243</v>
      </c>
      <c r="Q207" s="32">
        <f>IF(Tabell2[[#This Row],[Eldreandel]]&lt;=H$427,H$427,IF(Tabell2[[#This Row],[Eldreandel]]&gt;=H$428,H$428,Tabell2[[#This Row],[Eldreandel]]))</f>
        <v>0.18566775244299674</v>
      </c>
      <c r="R207" s="32">
        <f>IF(Tabell2[[#This Row],[Sysselsettingsvekst10]]&lt;=I$427,I$427,IF(Tabell2[[#This Row],[Sysselsettingsvekst10]]&gt;=I$428,I$428,Tabell2[[#This Row],[Sysselsettingsvekst10]]))</f>
        <v>-5.3398058252427161E-2</v>
      </c>
      <c r="S207" s="32">
        <f>IF(Tabell2[[#This Row],[Yrkesaktivandel]]&lt;=J$427,J$427,IF(Tabell2[[#This Row],[Yrkesaktivandel]]&gt;=J$428,J$428,Tabell2[[#This Row],[Yrkesaktivandel]]))</f>
        <v>0.92518248175182483</v>
      </c>
      <c r="T207" s="67">
        <f>IF(Tabell2[[#This Row],[Inntekt]]&lt;=K$427,K$427,IF(Tabell2[[#This Row],[Inntekt]]&gt;=K$428,K$428,Tabell2[[#This Row],[Inntekt]]))</f>
        <v>441700</v>
      </c>
      <c r="U207" s="10">
        <f>IF(Tabell2[[#This Row],[NIBR11-T]]&lt;=L$430,100,IF(Tabell2[[#This Row],[NIBR11-T]]&gt;=L$429,0,100*(L$429-Tabell2[[#This Row],[NIBR11-T]])/L$432))</f>
        <v>20</v>
      </c>
      <c r="V207" s="10">
        <f>(M$429-Tabell2[[#This Row],[ReisetidOslo-T]])*100/M$432</f>
        <v>16.255860840999144</v>
      </c>
      <c r="W207" s="10">
        <f>100-(N$429-Tabell2[[#This Row],[Beftettotal-T]])*100/N$432</f>
        <v>0</v>
      </c>
      <c r="X207" s="10">
        <f>100-(O$429-Tabell2[[#This Row],[Befvekst10-T]])*100/O$432</f>
        <v>26.31342496656255</v>
      </c>
      <c r="Y207" s="10">
        <f>100-(P$429-Tabell2[[#This Row],[Kvinneandel-T]])*100/P$432</f>
        <v>40.685558756616864</v>
      </c>
      <c r="Z207" s="10">
        <f>(Q$429-Tabell2[[#This Row],[Eldreandel-T]])*100/Q$432</f>
        <v>40.30147279149282</v>
      </c>
      <c r="AA207" s="10">
        <f>100-(R$429-Tabell2[[#This Row],[Sysselsettingsvekst10-T]])*100/R$432</f>
        <v>18.682236104355752</v>
      </c>
      <c r="AB207" s="10">
        <f>100-(S$429-Tabell2[[#This Row],[Yrkesaktivandel-T]])*100/S$432</f>
        <v>99.388960072542019</v>
      </c>
      <c r="AC207" s="10">
        <f>100-(T$429-Tabell2[[#This Row],[Inntekt-T]])*100/T$432</f>
        <v>91.713873153393308</v>
      </c>
      <c r="AD20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35.916129587847017</v>
      </c>
    </row>
    <row r="208" spans="1:30" x14ac:dyDescent="0.25">
      <c r="A208" s="2" t="s">
        <v>202</v>
      </c>
      <c r="B208" s="2">
        <v>206</v>
      </c>
      <c r="C208">
        <f>'Rådata-K'!N207</f>
        <v>6</v>
      </c>
      <c r="D208" s="30">
        <f>'Rådata-K'!M207</f>
        <v>268.5625</v>
      </c>
      <c r="E208" s="32">
        <f>'Rådata-K'!O207</f>
        <v>1.5664819944598338</v>
      </c>
      <c r="F208" s="32">
        <f>'Rådata-K'!P207</f>
        <v>-5.2770448548812299E-3</v>
      </c>
      <c r="G208" s="32">
        <f>'Rådata-K'!Q207</f>
        <v>0.10079575596816977</v>
      </c>
      <c r="H208" s="32">
        <f>'Rådata-K'!R207</f>
        <v>0.21750663129973474</v>
      </c>
      <c r="I208" s="32">
        <f>'Rådata-K'!S207</f>
        <v>-0.20348837209302328</v>
      </c>
      <c r="J208" s="32">
        <f>'Rådata-K'!T207</f>
        <v>0.8834154351395731</v>
      </c>
      <c r="K208" s="67">
        <f>'Rådata-K'!L207</f>
        <v>365100</v>
      </c>
      <c r="L208" s="18">
        <f>Tabell2[[#This Row],[NIBR11]]</f>
        <v>6</v>
      </c>
      <c r="M208" s="32">
        <f>IF(Tabell2[[#This Row],[ReisetidOslo]]&lt;=D$427,D$427,IF(Tabell2[[#This Row],[ReisetidOslo]]&gt;=D$428,D$428,Tabell2[[#This Row],[ReisetidOslo]]))</f>
        <v>268.5625</v>
      </c>
      <c r="N208" s="32">
        <f>IF(Tabell2[[#This Row],[Beftettotal]]&lt;=E$427,E$427,IF(Tabell2[[#This Row],[Beftettotal]]&gt;=E$428,E$428,Tabell2[[#This Row],[Beftettotal]]))</f>
        <v>1.5664819944598338</v>
      </c>
      <c r="O208" s="32">
        <f>IF(Tabell2[[#This Row],[Befvekst10]]&lt;=F$427,F$427,IF(Tabell2[[#This Row],[Befvekst10]]&gt;=F$428,F$428,Tabell2[[#This Row],[Befvekst10]]))</f>
        <v>-5.2770448548812299E-3</v>
      </c>
      <c r="P208" s="32">
        <f>IF(Tabell2[[#This Row],[Kvinneandel]]&lt;=G$427,G$427,IF(Tabell2[[#This Row],[Kvinneandel]]&gt;=G$428,G$428,Tabell2[[#This Row],[Kvinneandel]]))</f>
        <v>0.10079575596816977</v>
      </c>
      <c r="Q208" s="32">
        <f>IF(Tabell2[[#This Row],[Eldreandel]]&lt;=H$427,H$427,IF(Tabell2[[#This Row],[Eldreandel]]&gt;=H$428,H$428,Tabell2[[#This Row],[Eldreandel]]))</f>
        <v>0.21750663129973474</v>
      </c>
      <c r="R208" s="32">
        <f>IF(Tabell2[[#This Row],[Sysselsettingsvekst10]]&lt;=I$427,I$427,IF(Tabell2[[#This Row],[Sysselsettingsvekst10]]&gt;=I$428,I$428,Tabell2[[#This Row],[Sysselsettingsvekst10]]))</f>
        <v>-0.10679965679965678</v>
      </c>
      <c r="S208" s="32">
        <f>IF(Tabell2[[#This Row],[Yrkesaktivandel]]&lt;=J$427,J$427,IF(Tabell2[[#This Row],[Yrkesaktivandel]]&gt;=J$428,J$428,Tabell2[[#This Row],[Yrkesaktivandel]]))</f>
        <v>0.8834154351395731</v>
      </c>
      <c r="T208" s="67">
        <f>IF(Tabell2[[#This Row],[Inntekt]]&lt;=K$427,K$427,IF(Tabell2[[#This Row],[Inntekt]]&gt;=K$428,K$428,Tabell2[[#This Row],[Inntekt]]))</f>
        <v>365100</v>
      </c>
      <c r="U208" s="10">
        <f>IF(Tabell2[[#This Row],[NIBR11-T]]&lt;=L$430,100,IF(Tabell2[[#This Row],[NIBR11-T]]&gt;=L$429,0,100*(L$429-Tabell2[[#This Row],[NIBR11-T]])/L$432))</f>
        <v>50</v>
      </c>
      <c r="V208" s="10">
        <f>(M$429-Tabell2[[#This Row],[ReisetidOslo-T]])*100/M$432</f>
        <v>7.8276937990367026</v>
      </c>
      <c r="W208" s="10">
        <f>100-(N$429-Tabell2[[#This Row],[Beftettotal-T]])*100/N$432</f>
        <v>0.23927232670889964</v>
      </c>
      <c r="X208" s="10">
        <f>100-(O$429-Tabell2[[#This Row],[Befvekst10-T]])*100/O$432</f>
        <v>21.215454177225723</v>
      </c>
      <c r="Y208" s="10">
        <f>100-(P$429-Tabell2[[#This Row],[Kvinneandel-T]])*100/P$432</f>
        <v>28.734855548210049</v>
      </c>
      <c r="Z208" s="10">
        <f>(Q$429-Tabell2[[#This Row],[Eldreandel-T]])*100/Q$432</f>
        <v>5.9596673996789402</v>
      </c>
      <c r="AA208" s="10">
        <f>100-(R$429-Tabell2[[#This Row],[Sysselsettingsvekst10-T]])*100/R$432</f>
        <v>0</v>
      </c>
      <c r="AB208" s="10">
        <f>100-(S$429-Tabell2[[#This Row],[Yrkesaktivandel-T]])*100/S$432</f>
        <v>66.992606824786535</v>
      </c>
      <c r="AC208" s="10">
        <f>100-(T$429-Tabell2[[#This Row],[Inntekt-T]])*100/T$432</f>
        <v>6.6311229590136662</v>
      </c>
      <c r="AD20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24.146886573794173</v>
      </c>
    </row>
    <row r="209" spans="1:30" x14ac:dyDescent="0.25">
      <c r="A209" s="2" t="s">
        <v>203</v>
      </c>
      <c r="B209" s="2">
        <v>207</v>
      </c>
      <c r="C209">
        <f>'Rådata-K'!N208</f>
        <v>6</v>
      </c>
      <c r="D209" s="30">
        <f>'Rådata-K'!M208</f>
        <v>258.875</v>
      </c>
      <c r="E209" s="32">
        <f>'Rådata-K'!O208</f>
        <v>4.4159409314653537</v>
      </c>
      <c r="F209" s="32">
        <f>'Rådata-K'!P208</f>
        <v>-4.5035823950870024E-2</v>
      </c>
      <c r="G209" s="32">
        <f>'Rådata-K'!Q208</f>
        <v>0.11039657020364416</v>
      </c>
      <c r="H209" s="32">
        <f>'Rådata-K'!R208</f>
        <v>0.21757770632368703</v>
      </c>
      <c r="I209" s="32">
        <f>'Rådata-K'!S208</f>
        <v>-0.12602739726027401</v>
      </c>
      <c r="J209" s="32">
        <f>'Rådata-K'!T208</f>
        <v>0.93269230769230771</v>
      </c>
      <c r="K209" s="67">
        <f>'Rådata-K'!L208</f>
        <v>380100</v>
      </c>
      <c r="L209" s="18">
        <f>Tabell2[[#This Row],[NIBR11]]</f>
        <v>6</v>
      </c>
      <c r="M209" s="32">
        <f>IF(Tabell2[[#This Row],[ReisetidOslo]]&lt;=D$427,D$427,IF(Tabell2[[#This Row],[ReisetidOslo]]&gt;=D$428,D$428,Tabell2[[#This Row],[ReisetidOslo]]))</f>
        <v>258.875</v>
      </c>
      <c r="N209" s="32">
        <f>IF(Tabell2[[#This Row],[Beftettotal]]&lt;=E$427,E$427,IF(Tabell2[[#This Row],[Beftettotal]]&gt;=E$428,E$428,Tabell2[[#This Row],[Beftettotal]]))</f>
        <v>4.4159409314653537</v>
      </c>
      <c r="O209" s="32">
        <f>IF(Tabell2[[#This Row],[Befvekst10]]&lt;=F$427,F$427,IF(Tabell2[[#This Row],[Befvekst10]]&gt;=F$428,F$428,Tabell2[[#This Row],[Befvekst10]]))</f>
        <v>-4.5035823950870024E-2</v>
      </c>
      <c r="P209" s="32">
        <f>IF(Tabell2[[#This Row],[Kvinneandel]]&lt;=G$427,G$427,IF(Tabell2[[#This Row],[Kvinneandel]]&gt;=G$428,G$428,Tabell2[[#This Row],[Kvinneandel]]))</f>
        <v>0.11039657020364416</v>
      </c>
      <c r="Q209" s="32">
        <f>IF(Tabell2[[#This Row],[Eldreandel]]&lt;=H$427,H$427,IF(Tabell2[[#This Row],[Eldreandel]]&gt;=H$428,H$428,Tabell2[[#This Row],[Eldreandel]]))</f>
        <v>0.21757770632368703</v>
      </c>
      <c r="R209" s="32">
        <f>IF(Tabell2[[#This Row],[Sysselsettingsvekst10]]&lt;=I$427,I$427,IF(Tabell2[[#This Row],[Sysselsettingsvekst10]]&gt;=I$428,I$428,Tabell2[[#This Row],[Sysselsettingsvekst10]]))</f>
        <v>-0.10679965679965678</v>
      </c>
      <c r="S209" s="32">
        <f>IF(Tabell2[[#This Row],[Yrkesaktivandel]]&lt;=J$427,J$427,IF(Tabell2[[#This Row],[Yrkesaktivandel]]&gt;=J$428,J$428,Tabell2[[#This Row],[Yrkesaktivandel]]))</f>
        <v>0.92597026588718434</v>
      </c>
      <c r="T209" s="67">
        <f>IF(Tabell2[[#This Row],[Inntekt]]&lt;=K$427,K$427,IF(Tabell2[[#This Row],[Inntekt]]&gt;=K$428,K$428,Tabell2[[#This Row],[Inntekt]]))</f>
        <v>380100</v>
      </c>
      <c r="U209" s="10">
        <f>IF(Tabell2[[#This Row],[NIBR11-T]]&lt;=L$430,100,IF(Tabell2[[#This Row],[NIBR11-T]]&gt;=L$429,0,100*(L$429-Tabell2[[#This Row],[NIBR11-T]])/L$432))</f>
        <v>50</v>
      </c>
      <c r="V209" s="10">
        <f>(M$429-Tabell2[[#This Row],[ReisetidOslo-T]])*100/M$432</f>
        <v>12.001386743139509</v>
      </c>
      <c r="W209" s="10">
        <f>100-(N$429-Tabell2[[#This Row],[Beftettotal-T]])*100/N$432</f>
        <v>2.362990773952248</v>
      </c>
      <c r="X209" s="10">
        <f>100-(O$429-Tabell2[[#This Row],[Befvekst10-T]])*100/O$432</f>
        <v>4.0883738606548405</v>
      </c>
      <c r="Y209" s="10">
        <f>100-(P$429-Tabell2[[#This Row],[Kvinneandel-T]])*100/P$432</f>
        <v>54.093516841998529</v>
      </c>
      <c r="Z209" s="10">
        <f>(Q$429-Tabell2[[#This Row],[Eldreandel-T]])*100/Q$432</f>
        <v>5.8830050067670916</v>
      </c>
      <c r="AA209" s="10">
        <f>100-(R$429-Tabell2[[#This Row],[Sysselsettingsvekst10-T]])*100/R$432</f>
        <v>0</v>
      </c>
      <c r="AB209" s="10">
        <f>100-(S$429-Tabell2[[#This Row],[Yrkesaktivandel-T]])*100/S$432</f>
        <v>100</v>
      </c>
      <c r="AC209" s="10">
        <f>100-(T$429-Tabell2[[#This Row],[Inntekt-T]])*100/T$432</f>
        <v>23.292235921359548</v>
      </c>
      <c r="AD20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27.582162208414378</v>
      </c>
    </row>
    <row r="210" spans="1:30" x14ac:dyDescent="0.25">
      <c r="A210" s="2" t="s">
        <v>204</v>
      </c>
      <c r="B210" s="2">
        <v>208</v>
      </c>
      <c r="C210">
        <f>'Rådata-K'!N209</f>
        <v>6</v>
      </c>
      <c r="D210" s="30">
        <f>'Rådata-K'!M209</f>
        <v>237.15625</v>
      </c>
      <c r="E210" s="32">
        <f>'Rådata-K'!O209</f>
        <v>8.0373904231342177</v>
      </c>
      <c r="F210" s="32">
        <f>'Rådata-K'!P209</f>
        <v>5.2807195705788512E-2</v>
      </c>
      <c r="G210" s="32">
        <f>'Rådata-K'!Q209</f>
        <v>0.11320104726470993</v>
      </c>
      <c r="H210" s="32">
        <f>'Rådata-K'!R209</f>
        <v>0.18340912222681549</v>
      </c>
      <c r="I210" s="32">
        <f>'Rådata-K'!S209</f>
        <v>0.10532954903815828</v>
      </c>
      <c r="J210" s="32">
        <f>'Rådata-K'!T209</f>
        <v>0.91646897240604319</v>
      </c>
      <c r="K210" s="67">
        <f>'Rådata-K'!L209</f>
        <v>403400</v>
      </c>
      <c r="L210" s="18">
        <f>Tabell2[[#This Row],[NIBR11]]</f>
        <v>6</v>
      </c>
      <c r="M210" s="32">
        <f>IF(Tabell2[[#This Row],[ReisetidOslo]]&lt;=D$427,D$427,IF(Tabell2[[#This Row],[ReisetidOslo]]&gt;=D$428,D$428,Tabell2[[#This Row],[ReisetidOslo]]))</f>
        <v>237.15625</v>
      </c>
      <c r="N210" s="32">
        <f>IF(Tabell2[[#This Row],[Beftettotal]]&lt;=E$427,E$427,IF(Tabell2[[#This Row],[Beftettotal]]&gt;=E$428,E$428,Tabell2[[#This Row],[Beftettotal]]))</f>
        <v>8.0373904231342177</v>
      </c>
      <c r="O210" s="32">
        <f>IF(Tabell2[[#This Row],[Befvekst10]]&lt;=F$427,F$427,IF(Tabell2[[#This Row],[Befvekst10]]&gt;=F$428,F$428,Tabell2[[#This Row],[Befvekst10]]))</f>
        <v>5.2807195705788512E-2</v>
      </c>
      <c r="P210" s="32">
        <f>IF(Tabell2[[#This Row],[Kvinneandel]]&lt;=G$427,G$427,IF(Tabell2[[#This Row],[Kvinneandel]]&gt;=G$428,G$428,Tabell2[[#This Row],[Kvinneandel]]))</f>
        <v>0.11320104726470993</v>
      </c>
      <c r="Q210" s="32">
        <f>IF(Tabell2[[#This Row],[Eldreandel]]&lt;=H$427,H$427,IF(Tabell2[[#This Row],[Eldreandel]]&gt;=H$428,H$428,Tabell2[[#This Row],[Eldreandel]]))</f>
        <v>0.18340912222681549</v>
      </c>
      <c r="R210" s="32">
        <f>IF(Tabell2[[#This Row],[Sysselsettingsvekst10]]&lt;=I$427,I$427,IF(Tabell2[[#This Row],[Sysselsettingsvekst10]]&gt;=I$428,I$428,Tabell2[[#This Row],[Sysselsettingsvekst10]]))</f>
        <v>0.10532954903815828</v>
      </c>
      <c r="S210" s="32">
        <f>IF(Tabell2[[#This Row],[Yrkesaktivandel]]&lt;=J$427,J$427,IF(Tabell2[[#This Row],[Yrkesaktivandel]]&gt;=J$428,J$428,Tabell2[[#This Row],[Yrkesaktivandel]]))</f>
        <v>0.91646897240604319</v>
      </c>
      <c r="T210" s="67">
        <f>IF(Tabell2[[#This Row],[Inntekt]]&lt;=K$427,K$427,IF(Tabell2[[#This Row],[Inntekt]]&gt;=K$428,K$428,Tabell2[[#This Row],[Inntekt]]))</f>
        <v>403400</v>
      </c>
      <c r="U210" s="10">
        <f>IF(Tabell2[[#This Row],[NIBR11-T]]&lt;=L$430,100,IF(Tabell2[[#This Row],[NIBR11-T]]&gt;=L$429,0,100*(L$429-Tabell2[[#This Row],[NIBR11-T]])/L$432))</f>
        <v>50</v>
      </c>
      <c r="V210" s="10">
        <f>(M$429-Tabell2[[#This Row],[ReisetidOslo-T]])*100/M$432</f>
        <v>21.358537053305479</v>
      </c>
      <c r="W210" s="10">
        <f>100-(N$429-Tabell2[[#This Row],[Beftettotal-T]])*100/N$432</f>
        <v>5.0620783064434249</v>
      </c>
      <c r="X210" s="10">
        <f>100-(O$429-Tabell2[[#This Row],[Befvekst10-T]])*100/O$432</f>
        <v>46.236681584834415</v>
      </c>
      <c r="Y210" s="10">
        <f>100-(P$429-Tabell2[[#This Row],[Kvinneandel-T]])*100/P$432</f>
        <v>61.500991057569834</v>
      </c>
      <c r="Z210" s="10">
        <f>(Q$429-Tabell2[[#This Row],[Eldreandel-T]])*100/Q$432</f>
        <v>42.737659055625429</v>
      </c>
      <c r="AA210" s="10">
        <f>100-(R$429-Tabell2[[#This Row],[Sysselsettingsvekst10-T]])*100/R$432</f>
        <v>74.212158735033498</v>
      </c>
      <c r="AB210" s="10">
        <f>100-(S$429-Tabell2[[#This Row],[Yrkesaktivandel-T]])*100/S$432</f>
        <v>92.630380050971695</v>
      </c>
      <c r="AC210" s="10">
        <f>100-(T$429-Tabell2[[#This Row],[Inntekt-T]])*100/T$432</f>
        <v>49.172498056203487</v>
      </c>
      <c r="AD21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48.70283404282241</v>
      </c>
    </row>
    <row r="211" spans="1:30" x14ac:dyDescent="0.25">
      <c r="A211" s="2" t="s">
        <v>205</v>
      </c>
      <c r="B211" s="2">
        <v>209</v>
      </c>
      <c r="C211">
        <f>'Rådata-K'!N210</f>
        <v>5</v>
      </c>
      <c r="D211" s="30">
        <f>'Rådata-K'!M210</f>
        <v>217.4375</v>
      </c>
      <c r="E211" s="32">
        <f>'Rådata-K'!O210</f>
        <v>13.662611516626114</v>
      </c>
      <c r="F211" s="32">
        <f>'Rådata-K'!P210</f>
        <v>2.345078979343862E-2</v>
      </c>
      <c r="G211" s="32">
        <f>'Rådata-K'!Q210</f>
        <v>0.10198266650836994</v>
      </c>
      <c r="H211" s="32">
        <f>'Rådata-K'!R210</f>
        <v>0.19090585302148877</v>
      </c>
      <c r="I211" s="32">
        <f>'Rådata-K'!S210</f>
        <v>-5.8031088082901583E-2</v>
      </c>
      <c r="J211" s="32">
        <f>'Rådata-K'!T210</f>
        <v>0.88910847606499777</v>
      </c>
      <c r="K211" s="67">
        <f>'Rådata-K'!L210</f>
        <v>404900</v>
      </c>
      <c r="L211" s="18">
        <f>Tabell2[[#This Row],[NIBR11]]</f>
        <v>5</v>
      </c>
      <c r="M211" s="32">
        <f>IF(Tabell2[[#This Row],[ReisetidOslo]]&lt;=D$427,D$427,IF(Tabell2[[#This Row],[ReisetidOslo]]&gt;=D$428,D$428,Tabell2[[#This Row],[ReisetidOslo]]))</f>
        <v>217.4375</v>
      </c>
      <c r="N211" s="32">
        <f>IF(Tabell2[[#This Row],[Beftettotal]]&lt;=E$427,E$427,IF(Tabell2[[#This Row],[Beftettotal]]&gt;=E$428,E$428,Tabell2[[#This Row],[Beftettotal]]))</f>
        <v>13.662611516626114</v>
      </c>
      <c r="O211" s="32">
        <f>IF(Tabell2[[#This Row],[Befvekst10]]&lt;=F$427,F$427,IF(Tabell2[[#This Row],[Befvekst10]]&gt;=F$428,F$428,Tabell2[[#This Row],[Befvekst10]]))</f>
        <v>2.345078979343862E-2</v>
      </c>
      <c r="P211" s="32">
        <f>IF(Tabell2[[#This Row],[Kvinneandel]]&lt;=G$427,G$427,IF(Tabell2[[#This Row],[Kvinneandel]]&gt;=G$428,G$428,Tabell2[[#This Row],[Kvinneandel]]))</f>
        <v>0.10198266650836994</v>
      </c>
      <c r="Q211" s="32">
        <f>IF(Tabell2[[#This Row],[Eldreandel]]&lt;=H$427,H$427,IF(Tabell2[[#This Row],[Eldreandel]]&gt;=H$428,H$428,Tabell2[[#This Row],[Eldreandel]]))</f>
        <v>0.19090585302148877</v>
      </c>
      <c r="R211" s="32">
        <f>IF(Tabell2[[#This Row],[Sysselsettingsvekst10]]&lt;=I$427,I$427,IF(Tabell2[[#This Row],[Sysselsettingsvekst10]]&gt;=I$428,I$428,Tabell2[[#This Row],[Sysselsettingsvekst10]]))</f>
        <v>-5.8031088082901583E-2</v>
      </c>
      <c r="S211" s="32">
        <f>IF(Tabell2[[#This Row],[Yrkesaktivandel]]&lt;=J$427,J$427,IF(Tabell2[[#This Row],[Yrkesaktivandel]]&gt;=J$428,J$428,Tabell2[[#This Row],[Yrkesaktivandel]]))</f>
        <v>0.88910847606499777</v>
      </c>
      <c r="T211" s="67">
        <f>IF(Tabell2[[#This Row],[Inntekt]]&lt;=K$427,K$427,IF(Tabell2[[#This Row],[Inntekt]]&gt;=K$428,K$428,Tabell2[[#This Row],[Inntekt]]))</f>
        <v>404900</v>
      </c>
      <c r="U211" s="10">
        <f>IF(Tabell2[[#This Row],[NIBR11-T]]&lt;=L$430,100,IF(Tabell2[[#This Row],[NIBR11-T]]&gt;=L$429,0,100*(L$429-Tabell2[[#This Row],[NIBR11-T]])/L$432))</f>
        <v>60</v>
      </c>
      <c r="V211" s="10">
        <f>(M$429-Tabell2[[#This Row],[ReisetidOslo-T]])*100/M$432</f>
        <v>29.854021723398613</v>
      </c>
      <c r="W211" s="10">
        <f>100-(N$429-Tabell2[[#This Row],[Beftettotal-T]])*100/N$432</f>
        <v>9.254588558451303</v>
      </c>
      <c r="X211" s="10">
        <f>100-(O$429-Tabell2[[#This Row],[Befvekst10-T]])*100/O$432</f>
        <v>33.590681549149252</v>
      </c>
      <c r="Y211" s="10">
        <f>100-(P$429-Tabell2[[#This Row],[Kvinneandel-T]])*100/P$432</f>
        <v>31.869846147627314</v>
      </c>
      <c r="Z211" s="10">
        <f>(Q$429-Tabell2[[#This Row],[Eldreandel-T]])*100/Q$432</f>
        <v>34.651593237041986</v>
      </c>
      <c r="AA211" s="10">
        <f>100-(R$429-Tabell2[[#This Row],[Sysselsettingsvekst10-T]])*100/R$432</f>
        <v>17.061397786287515</v>
      </c>
      <c r="AB211" s="10">
        <f>100-(S$429-Tabell2[[#This Row],[Yrkesaktivandel-T]])*100/S$432</f>
        <v>71.408379062316143</v>
      </c>
      <c r="AC211" s="10">
        <f>100-(T$429-Tabell2[[#This Row],[Inntekt-T]])*100/T$432</f>
        <v>50.838609352438077</v>
      </c>
      <c r="AD21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39.885907927352484</v>
      </c>
    </row>
    <row r="212" spans="1:30" x14ac:dyDescent="0.25">
      <c r="A212" s="2" t="s">
        <v>206</v>
      </c>
      <c r="B212" s="2">
        <v>210</v>
      </c>
      <c r="C212">
        <f>'Rådata-K'!N211</f>
        <v>1</v>
      </c>
      <c r="D212" s="30">
        <f>'Rådata-K'!M211</f>
        <v>213.5</v>
      </c>
      <c r="E212" s="32">
        <f>'Rådata-K'!O211</f>
        <v>10.308596231208979</v>
      </c>
      <c r="F212" s="32">
        <f>'Rådata-K'!P211</f>
        <v>3.8943718324886634E-2</v>
      </c>
      <c r="G212" s="32">
        <f>'Rådata-K'!Q211</f>
        <v>9.8844672657252886E-2</v>
      </c>
      <c r="H212" s="32">
        <f>'Rådata-K'!R211</f>
        <v>0.17792041078305521</v>
      </c>
      <c r="I212" s="32">
        <f>'Rådata-K'!S211</f>
        <v>7.1271929824561431E-2</v>
      </c>
      <c r="J212" s="32">
        <f>'Rådata-K'!T211</f>
        <v>0.90874524714828897</v>
      </c>
      <c r="K212" s="67">
        <f>'Rådata-K'!L211</f>
        <v>436100</v>
      </c>
      <c r="L212" s="18">
        <f>Tabell2[[#This Row],[NIBR11]]</f>
        <v>1</v>
      </c>
      <c r="M212" s="32">
        <f>IF(Tabell2[[#This Row],[ReisetidOslo]]&lt;=D$427,D$427,IF(Tabell2[[#This Row],[ReisetidOslo]]&gt;=D$428,D$428,Tabell2[[#This Row],[ReisetidOslo]]))</f>
        <v>213.5</v>
      </c>
      <c r="N212" s="32">
        <f>IF(Tabell2[[#This Row],[Beftettotal]]&lt;=E$427,E$427,IF(Tabell2[[#This Row],[Beftettotal]]&gt;=E$428,E$428,Tabell2[[#This Row],[Beftettotal]]))</f>
        <v>10.308596231208979</v>
      </c>
      <c r="O212" s="32">
        <f>IF(Tabell2[[#This Row],[Befvekst10]]&lt;=F$427,F$427,IF(Tabell2[[#This Row],[Befvekst10]]&gt;=F$428,F$428,Tabell2[[#This Row],[Befvekst10]]))</f>
        <v>3.8943718324886634E-2</v>
      </c>
      <c r="P212" s="32">
        <f>IF(Tabell2[[#This Row],[Kvinneandel]]&lt;=G$427,G$427,IF(Tabell2[[#This Row],[Kvinneandel]]&gt;=G$428,G$428,Tabell2[[#This Row],[Kvinneandel]]))</f>
        <v>9.8844672657252886E-2</v>
      </c>
      <c r="Q212" s="32">
        <f>IF(Tabell2[[#This Row],[Eldreandel]]&lt;=H$427,H$427,IF(Tabell2[[#This Row],[Eldreandel]]&gt;=H$428,H$428,Tabell2[[#This Row],[Eldreandel]]))</f>
        <v>0.17792041078305521</v>
      </c>
      <c r="R212" s="32">
        <f>IF(Tabell2[[#This Row],[Sysselsettingsvekst10]]&lt;=I$427,I$427,IF(Tabell2[[#This Row],[Sysselsettingsvekst10]]&gt;=I$428,I$428,Tabell2[[#This Row],[Sysselsettingsvekst10]]))</f>
        <v>7.1271929824561431E-2</v>
      </c>
      <c r="S212" s="32">
        <f>IF(Tabell2[[#This Row],[Yrkesaktivandel]]&lt;=J$427,J$427,IF(Tabell2[[#This Row],[Yrkesaktivandel]]&gt;=J$428,J$428,Tabell2[[#This Row],[Yrkesaktivandel]]))</f>
        <v>0.90874524714828897</v>
      </c>
      <c r="T212" s="67">
        <f>IF(Tabell2[[#This Row],[Inntekt]]&lt;=K$427,K$427,IF(Tabell2[[#This Row],[Inntekt]]&gt;=K$428,K$428,Tabell2[[#This Row],[Inntekt]]))</f>
        <v>436100</v>
      </c>
      <c r="U212" s="10">
        <f>IF(Tabell2[[#This Row],[NIBR11-T]]&lt;=L$430,100,IF(Tabell2[[#This Row],[NIBR11-T]]&gt;=L$429,0,100*(L$429-Tabell2[[#This Row],[NIBR11-T]])/L$432))</f>
        <v>100</v>
      </c>
      <c r="V212" s="10">
        <f>(M$429-Tabell2[[#This Row],[ReisetidOslo-T]])*100/M$432</f>
        <v>31.550425952292009</v>
      </c>
      <c r="W212" s="10">
        <f>100-(N$429-Tabell2[[#This Row],[Beftettotal-T]])*100/N$432</f>
        <v>6.7548213073878429</v>
      </c>
      <c r="X212" s="10">
        <f>100-(O$429-Tabell2[[#This Row],[Befvekst10-T]])*100/O$432</f>
        <v>40.264644817899963</v>
      </c>
      <c r="Y212" s="10">
        <f>100-(P$429-Tabell2[[#This Row],[Kvinneandel-T]])*100/P$432</f>
        <v>23.581452969635947</v>
      </c>
      <c r="Z212" s="10">
        <f>(Q$429-Tabell2[[#This Row],[Eldreandel-T]])*100/Q$432</f>
        <v>48.657850564301846</v>
      </c>
      <c r="AA212" s="10">
        <f>100-(R$429-Tabell2[[#This Row],[Sysselsettingsvekst10-T]])*100/R$432</f>
        <v>62.297300367302711</v>
      </c>
      <c r="AB212" s="10">
        <f>100-(S$429-Tabell2[[#This Row],[Yrkesaktivandel-T]])*100/S$432</f>
        <v>86.639519979830865</v>
      </c>
      <c r="AC212" s="10">
        <f>100-(T$429-Tabell2[[#This Row],[Inntekt-T]])*100/T$432</f>
        <v>85.493724314117514</v>
      </c>
      <c r="AD21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58.938473332369981</v>
      </c>
    </row>
    <row r="213" spans="1:30" x14ac:dyDescent="0.25">
      <c r="A213" s="2" t="s">
        <v>207</v>
      </c>
      <c r="B213" s="2">
        <v>211</v>
      </c>
      <c r="C213">
        <f>'Rådata-K'!N212</f>
        <v>1</v>
      </c>
      <c r="D213" s="30">
        <f>'Rådata-K'!M212</f>
        <v>196.375</v>
      </c>
      <c r="E213" s="32">
        <f>'Rådata-K'!O212</f>
        <v>9.2466644367636661</v>
      </c>
      <c r="F213" s="32">
        <f>'Rådata-K'!P212</f>
        <v>5.7373565660858494E-2</v>
      </c>
      <c r="G213" s="32">
        <f>'Rådata-K'!Q212</f>
        <v>0.11776527331189711</v>
      </c>
      <c r="H213" s="32">
        <f>'Rådata-K'!R212</f>
        <v>0.17081993569131831</v>
      </c>
      <c r="I213" s="32">
        <f>'Rådata-K'!S212</f>
        <v>1.3961605584642323E-2</v>
      </c>
      <c r="J213" s="32">
        <f>'Rådata-K'!T212</f>
        <v>0.84637473079684133</v>
      </c>
      <c r="K213" s="67">
        <f>'Rådata-K'!L212</f>
        <v>423100</v>
      </c>
      <c r="L213" s="18">
        <f>Tabell2[[#This Row],[NIBR11]]</f>
        <v>1</v>
      </c>
      <c r="M213" s="32">
        <f>IF(Tabell2[[#This Row],[ReisetidOslo]]&lt;=D$427,D$427,IF(Tabell2[[#This Row],[ReisetidOslo]]&gt;=D$428,D$428,Tabell2[[#This Row],[ReisetidOslo]]))</f>
        <v>196.375</v>
      </c>
      <c r="N213" s="32">
        <f>IF(Tabell2[[#This Row],[Beftettotal]]&lt;=E$427,E$427,IF(Tabell2[[#This Row],[Beftettotal]]&gt;=E$428,E$428,Tabell2[[#This Row],[Beftettotal]]))</f>
        <v>9.2466644367636661</v>
      </c>
      <c r="O213" s="32">
        <f>IF(Tabell2[[#This Row],[Befvekst10]]&lt;=F$427,F$427,IF(Tabell2[[#This Row],[Befvekst10]]&gt;=F$428,F$428,Tabell2[[#This Row],[Befvekst10]]))</f>
        <v>5.7373565660858494E-2</v>
      </c>
      <c r="P213" s="32">
        <f>IF(Tabell2[[#This Row],[Kvinneandel]]&lt;=G$427,G$427,IF(Tabell2[[#This Row],[Kvinneandel]]&gt;=G$428,G$428,Tabell2[[#This Row],[Kvinneandel]]))</f>
        <v>0.11776527331189711</v>
      </c>
      <c r="Q213" s="32">
        <f>IF(Tabell2[[#This Row],[Eldreandel]]&lt;=H$427,H$427,IF(Tabell2[[#This Row],[Eldreandel]]&gt;=H$428,H$428,Tabell2[[#This Row],[Eldreandel]]))</f>
        <v>0.17081993569131831</v>
      </c>
      <c r="R213" s="32">
        <f>IF(Tabell2[[#This Row],[Sysselsettingsvekst10]]&lt;=I$427,I$427,IF(Tabell2[[#This Row],[Sysselsettingsvekst10]]&gt;=I$428,I$428,Tabell2[[#This Row],[Sysselsettingsvekst10]]))</f>
        <v>1.3961605584642323E-2</v>
      </c>
      <c r="S213" s="32">
        <f>IF(Tabell2[[#This Row],[Yrkesaktivandel]]&lt;=J$427,J$427,IF(Tabell2[[#This Row],[Yrkesaktivandel]]&gt;=J$428,J$428,Tabell2[[#This Row],[Yrkesaktivandel]]))</f>
        <v>0.84637473079684133</v>
      </c>
      <c r="T213" s="67">
        <f>IF(Tabell2[[#This Row],[Inntekt]]&lt;=K$427,K$427,IF(Tabell2[[#This Row],[Inntekt]]&gt;=K$428,K$428,Tabell2[[#This Row],[Inntekt]]))</f>
        <v>423100</v>
      </c>
      <c r="U213" s="10">
        <f>IF(Tabell2[[#This Row],[NIBR11-T]]&lt;=L$430,100,IF(Tabell2[[#This Row],[NIBR11-T]]&gt;=L$429,0,100*(L$429-Tabell2[[#This Row],[NIBR11-T]])/L$432))</f>
        <v>100</v>
      </c>
      <c r="V213" s="10">
        <f>(M$429-Tabell2[[#This Row],[ReisetidOslo-T]])*100/M$432</f>
        <v>38.928437995415678</v>
      </c>
      <c r="W213" s="10">
        <f>100-(N$429-Tabell2[[#This Row],[Beftettotal-T]])*100/N$432</f>
        <v>5.9633573167020302</v>
      </c>
      <c r="X213" s="10">
        <f>100-(O$429-Tabell2[[#This Row],[Befvekst10-T]])*100/O$432</f>
        <v>48.203758712299582</v>
      </c>
      <c r="Y213" s="10">
        <f>100-(P$429-Tabell2[[#This Row],[Kvinneandel-T]])*100/P$432</f>
        <v>73.556495888737686</v>
      </c>
      <c r="Z213" s="10">
        <f>(Q$429-Tabell2[[#This Row],[Eldreandel-T]])*100/Q$432</f>
        <v>56.316510119716632</v>
      </c>
      <c r="AA213" s="10">
        <f>100-(R$429-Tabell2[[#This Row],[Sysselsettingsvekst10-T]])*100/R$432</f>
        <v>42.247619500157668</v>
      </c>
      <c r="AB213" s="10">
        <f>100-(S$429-Tabell2[[#This Row],[Yrkesaktivandel-T]])*100/S$432</f>
        <v>38.262211937808523</v>
      </c>
      <c r="AC213" s="10">
        <f>100-(T$429-Tabell2[[#This Row],[Inntekt-T]])*100/T$432</f>
        <v>71.054093080084414</v>
      </c>
      <c r="AD21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55.77997402589947</v>
      </c>
    </row>
    <row r="214" spans="1:30" x14ac:dyDescent="0.25">
      <c r="A214" s="2" t="s">
        <v>208</v>
      </c>
      <c r="B214" s="2">
        <v>212</v>
      </c>
      <c r="C214">
        <f>'Rådata-K'!N213</f>
        <v>1</v>
      </c>
      <c r="D214" s="30">
        <f>'Rådata-K'!M213</f>
        <v>177.84375</v>
      </c>
      <c r="E214" s="32">
        <f>'Rådata-K'!O213</f>
        <v>144.38632944042416</v>
      </c>
      <c r="F214" s="32">
        <f>'Rådata-K'!P213</f>
        <v>0.29220904135941006</v>
      </c>
      <c r="G214" s="32">
        <f>'Rådata-K'!Q213</f>
        <v>0.13269154426359667</v>
      </c>
      <c r="H214" s="32">
        <f>'Rådata-K'!R213</f>
        <v>0.12470226280269948</v>
      </c>
      <c r="I214" s="32">
        <f>'Rådata-K'!S213</f>
        <v>8.4631262901107229E-2</v>
      </c>
      <c r="J214" s="32">
        <f>'Rådata-K'!T213</f>
        <v>0.85057372099042361</v>
      </c>
      <c r="K214" s="67">
        <f>'Rådata-K'!L213</f>
        <v>464000</v>
      </c>
      <c r="L214" s="18">
        <f>Tabell2[[#This Row],[NIBR11]]</f>
        <v>1</v>
      </c>
      <c r="M214" s="32">
        <f>IF(Tabell2[[#This Row],[ReisetidOslo]]&lt;=D$427,D$427,IF(Tabell2[[#This Row],[ReisetidOslo]]&gt;=D$428,D$428,Tabell2[[#This Row],[ReisetidOslo]]))</f>
        <v>177.84375</v>
      </c>
      <c r="N214" s="32">
        <f>IF(Tabell2[[#This Row],[Beftettotal]]&lt;=E$427,E$427,IF(Tabell2[[#This Row],[Beftettotal]]&gt;=E$428,E$428,Tabell2[[#This Row],[Beftettotal]]))</f>
        <v>135.41854576488009</v>
      </c>
      <c r="O214" s="32">
        <f>IF(Tabell2[[#This Row],[Befvekst10]]&lt;=F$427,F$427,IF(Tabell2[[#This Row],[Befvekst10]]&gt;=F$428,F$428,Tabell2[[#This Row],[Befvekst10]]))</f>
        <v>0.17761328412400704</v>
      </c>
      <c r="P214" s="32">
        <f>IF(Tabell2[[#This Row],[Kvinneandel]]&lt;=G$427,G$427,IF(Tabell2[[#This Row],[Kvinneandel]]&gt;=G$428,G$428,Tabell2[[#This Row],[Kvinneandel]]))</f>
        <v>0.12777681011054584</v>
      </c>
      <c r="Q214" s="32">
        <f>IF(Tabell2[[#This Row],[Eldreandel]]&lt;=H$427,H$427,IF(Tabell2[[#This Row],[Eldreandel]]&gt;=H$428,H$428,Tabell2[[#This Row],[Eldreandel]]))</f>
        <v>0.13032022035982854</v>
      </c>
      <c r="R214" s="32">
        <f>IF(Tabell2[[#This Row],[Sysselsettingsvekst10]]&lt;=I$427,I$427,IF(Tabell2[[#This Row],[Sysselsettingsvekst10]]&gt;=I$428,I$428,Tabell2[[#This Row],[Sysselsettingsvekst10]]))</f>
        <v>8.4631262901107229E-2</v>
      </c>
      <c r="S214" s="32">
        <f>IF(Tabell2[[#This Row],[Yrkesaktivandel]]&lt;=J$427,J$427,IF(Tabell2[[#This Row],[Yrkesaktivandel]]&gt;=J$428,J$428,Tabell2[[#This Row],[Yrkesaktivandel]]))</f>
        <v>0.85057372099042361</v>
      </c>
      <c r="T214" s="67">
        <f>IF(Tabell2[[#This Row],[Inntekt]]&lt;=K$427,K$427,IF(Tabell2[[#This Row],[Inntekt]]&gt;=K$428,K$428,Tabell2[[#This Row],[Inntekt]]))</f>
        <v>449160</v>
      </c>
      <c r="U214" s="10">
        <f>IF(Tabell2[[#This Row],[NIBR11-T]]&lt;=L$430,100,IF(Tabell2[[#This Row],[NIBR11-T]]&gt;=L$429,0,100*(L$429-Tabell2[[#This Row],[NIBR11-T]])/L$432))</f>
        <v>100</v>
      </c>
      <c r="V214" s="10">
        <f>(M$429-Tabell2[[#This Row],[ReisetidOslo-T]])*100/M$432</f>
        <v>46.912308691715566</v>
      </c>
      <c r="W214" s="10">
        <f>100-(N$429-Tabell2[[#This Row],[Beftettotal-T]])*100/N$432</f>
        <v>100</v>
      </c>
      <c r="X214" s="10">
        <f>100-(O$429-Tabell2[[#This Row],[Befvekst10-T]])*100/O$432</f>
        <v>100</v>
      </c>
      <c r="Y214" s="10">
        <f>100-(P$429-Tabell2[[#This Row],[Kvinneandel-T]])*100/P$432</f>
        <v>100</v>
      </c>
      <c r="Z214" s="10">
        <f>(Q$429-Tabell2[[#This Row],[Eldreandel-T]])*100/Q$432</f>
        <v>100</v>
      </c>
      <c r="AA214" s="10">
        <f>100-(R$429-Tabell2[[#This Row],[Sysselsettingsvekst10-T]])*100/R$432</f>
        <v>66.97098470489837</v>
      </c>
      <c r="AB214" s="10">
        <f>100-(S$429-Tabell2[[#This Row],[Yrkesaktivandel-T]])*100/S$432</f>
        <v>41.519132898919757</v>
      </c>
      <c r="AC214" s="10">
        <f>100-(T$429-Tabell2[[#This Row],[Inntekt-T]])*100/T$432</f>
        <v>100</v>
      </c>
      <c r="AD21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85.540242629553376</v>
      </c>
    </row>
    <row r="215" spans="1:30" x14ac:dyDescent="0.25">
      <c r="A215" s="2" t="s">
        <v>209</v>
      </c>
      <c r="B215" s="2">
        <v>213</v>
      </c>
      <c r="C215">
        <f>'Rådata-K'!N214</f>
        <v>5</v>
      </c>
      <c r="D215" s="30">
        <f>'Rådata-K'!M214</f>
        <v>226.71875</v>
      </c>
      <c r="E215" s="32">
        <f>'Rådata-K'!O214</f>
        <v>44.000682710360124</v>
      </c>
      <c r="F215" s="32">
        <f>'Rådata-K'!P214</f>
        <v>0.17475506949191155</v>
      </c>
      <c r="G215" s="32">
        <f>'Rådata-K'!Q214</f>
        <v>0.12509697439875872</v>
      </c>
      <c r="H215" s="32">
        <f>'Rådata-K'!R214</f>
        <v>0.1421644685802948</v>
      </c>
      <c r="I215" s="32">
        <f>'Rådata-K'!S214</f>
        <v>0.24383684446436571</v>
      </c>
      <c r="J215" s="32">
        <f>'Rådata-K'!T214</f>
        <v>0.918739054290718</v>
      </c>
      <c r="K215" s="67">
        <f>'Rådata-K'!L214</f>
        <v>532500</v>
      </c>
      <c r="L215" s="18">
        <f>Tabell2[[#This Row],[NIBR11]]</f>
        <v>5</v>
      </c>
      <c r="M215" s="32">
        <f>IF(Tabell2[[#This Row],[ReisetidOslo]]&lt;=D$427,D$427,IF(Tabell2[[#This Row],[ReisetidOslo]]&gt;=D$428,D$428,Tabell2[[#This Row],[ReisetidOslo]]))</f>
        <v>226.71875</v>
      </c>
      <c r="N215" s="32">
        <f>IF(Tabell2[[#This Row],[Beftettotal]]&lt;=E$427,E$427,IF(Tabell2[[#This Row],[Beftettotal]]&gt;=E$428,E$428,Tabell2[[#This Row],[Beftettotal]]))</f>
        <v>44.000682710360124</v>
      </c>
      <c r="O215" s="32">
        <f>IF(Tabell2[[#This Row],[Befvekst10]]&lt;=F$427,F$427,IF(Tabell2[[#This Row],[Befvekst10]]&gt;=F$428,F$428,Tabell2[[#This Row],[Befvekst10]]))</f>
        <v>0.17475506949191155</v>
      </c>
      <c r="P215" s="32">
        <f>IF(Tabell2[[#This Row],[Kvinneandel]]&lt;=G$427,G$427,IF(Tabell2[[#This Row],[Kvinneandel]]&gt;=G$428,G$428,Tabell2[[#This Row],[Kvinneandel]]))</f>
        <v>0.12509697439875872</v>
      </c>
      <c r="Q215" s="32">
        <f>IF(Tabell2[[#This Row],[Eldreandel]]&lt;=H$427,H$427,IF(Tabell2[[#This Row],[Eldreandel]]&gt;=H$428,H$428,Tabell2[[#This Row],[Eldreandel]]))</f>
        <v>0.1421644685802948</v>
      </c>
      <c r="R215" s="32">
        <f>IF(Tabell2[[#This Row],[Sysselsettingsvekst10]]&lt;=I$427,I$427,IF(Tabell2[[#This Row],[Sysselsettingsvekst10]]&gt;=I$428,I$428,Tabell2[[#This Row],[Sysselsettingsvekst10]]))</f>
        <v>0.17904192152607218</v>
      </c>
      <c r="S215" s="32">
        <f>IF(Tabell2[[#This Row],[Yrkesaktivandel]]&lt;=J$427,J$427,IF(Tabell2[[#This Row],[Yrkesaktivandel]]&gt;=J$428,J$428,Tabell2[[#This Row],[Yrkesaktivandel]]))</f>
        <v>0.918739054290718</v>
      </c>
      <c r="T215" s="67">
        <f>IF(Tabell2[[#This Row],[Inntekt]]&lt;=K$427,K$427,IF(Tabell2[[#This Row],[Inntekt]]&gt;=K$428,K$428,Tabell2[[#This Row],[Inntekt]]))</f>
        <v>449160</v>
      </c>
      <c r="U215" s="10">
        <f>IF(Tabell2[[#This Row],[NIBR11-T]]&lt;=L$430,100,IF(Tabell2[[#This Row],[NIBR11-T]]&gt;=L$429,0,100*(L$429-Tabell2[[#This Row],[NIBR11-T]])/L$432))</f>
        <v>60</v>
      </c>
      <c r="V215" s="10">
        <f>(M$429-Tabell2[[#This Row],[ReisetidOslo-T]])*100/M$432</f>
        <v>25.855354612435601</v>
      </c>
      <c r="W215" s="10">
        <f>100-(N$429-Tabell2[[#This Row],[Beftettotal-T]])*100/N$432</f>
        <v>31.865730839246282</v>
      </c>
      <c r="X215" s="10">
        <f>100-(O$429-Tabell2[[#This Row],[Befvekst10-T]])*100/O$432</f>
        <v>98.768753148890426</v>
      </c>
      <c r="Y215" s="10">
        <f>100-(P$429-Tabell2[[#This Row],[Kvinneandel-T]])*100/P$432</f>
        <v>92.921741378235268</v>
      </c>
      <c r="Z215" s="10">
        <f>(Q$429-Tabell2[[#This Row],[Eldreandel-T]])*100/Q$432</f>
        <v>87.224648542751368</v>
      </c>
      <c r="AA215" s="10">
        <f>100-(R$429-Tabell2[[#This Row],[Sysselsettingsvekst10-T]])*100/R$432</f>
        <v>100</v>
      </c>
      <c r="AB215" s="10">
        <f>100-(S$429-Tabell2[[#This Row],[Yrkesaktivandel-T]])*100/S$432</f>
        <v>94.391155126116303</v>
      </c>
      <c r="AC215" s="10">
        <f>100-(T$429-Tabell2[[#This Row],[Inntekt-T]])*100/T$432</f>
        <v>100</v>
      </c>
      <c r="AD21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75.972294183607232</v>
      </c>
    </row>
    <row r="216" spans="1:30" x14ac:dyDescent="0.25">
      <c r="A216" s="2" t="s">
        <v>210</v>
      </c>
      <c r="B216" s="2">
        <v>214</v>
      </c>
      <c r="C216">
        <f>'Rådata-K'!N215</f>
        <v>1</v>
      </c>
      <c r="D216" s="30">
        <f>'Rådata-K'!M215</f>
        <v>183.4375</v>
      </c>
      <c r="E216" s="32">
        <f>'Rådata-K'!O215</f>
        <v>70.906168374522807</v>
      </c>
      <c r="F216" s="32">
        <f>'Rådata-K'!P215</f>
        <v>0.24479717813051138</v>
      </c>
      <c r="G216" s="32">
        <f>'Rådata-K'!Q215</f>
        <v>0.12723151034287333</v>
      </c>
      <c r="H216" s="32">
        <f>'Rådata-K'!R215</f>
        <v>0.12737319353924625</v>
      </c>
      <c r="I216" s="32">
        <f>'Rådata-K'!S215</f>
        <v>0.1350613915416099</v>
      </c>
      <c r="J216" s="32">
        <f>'Rådata-K'!T215</f>
        <v>0.81321410829607554</v>
      </c>
      <c r="K216" s="67">
        <f>'Rådata-K'!L215</f>
        <v>427100</v>
      </c>
      <c r="L216" s="18">
        <f>Tabell2[[#This Row],[NIBR11]]</f>
        <v>1</v>
      </c>
      <c r="M216" s="32">
        <f>IF(Tabell2[[#This Row],[ReisetidOslo]]&lt;=D$427,D$427,IF(Tabell2[[#This Row],[ReisetidOslo]]&gt;=D$428,D$428,Tabell2[[#This Row],[ReisetidOslo]]))</f>
        <v>183.4375</v>
      </c>
      <c r="N216" s="32">
        <f>IF(Tabell2[[#This Row],[Beftettotal]]&lt;=E$427,E$427,IF(Tabell2[[#This Row],[Beftettotal]]&gt;=E$428,E$428,Tabell2[[#This Row],[Beftettotal]]))</f>
        <v>70.906168374522807</v>
      </c>
      <c r="O216" s="32">
        <f>IF(Tabell2[[#This Row],[Befvekst10]]&lt;=F$427,F$427,IF(Tabell2[[#This Row],[Befvekst10]]&gt;=F$428,F$428,Tabell2[[#This Row],[Befvekst10]]))</f>
        <v>0.17761328412400704</v>
      </c>
      <c r="P216" s="32">
        <f>IF(Tabell2[[#This Row],[Kvinneandel]]&lt;=G$427,G$427,IF(Tabell2[[#This Row],[Kvinneandel]]&gt;=G$428,G$428,Tabell2[[#This Row],[Kvinneandel]]))</f>
        <v>0.12723151034287333</v>
      </c>
      <c r="Q216" s="32">
        <f>IF(Tabell2[[#This Row],[Eldreandel]]&lt;=H$427,H$427,IF(Tabell2[[#This Row],[Eldreandel]]&gt;=H$428,H$428,Tabell2[[#This Row],[Eldreandel]]))</f>
        <v>0.13032022035982854</v>
      </c>
      <c r="R216" s="32">
        <f>IF(Tabell2[[#This Row],[Sysselsettingsvekst10]]&lt;=I$427,I$427,IF(Tabell2[[#This Row],[Sysselsettingsvekst10]]&gt;=I$428,I$428,Tabell2[[#This Row],[Sysselsettingsvekst10]]))</f>
        <v>0.1350613915416099</v>
      </c>
      <c r="S216" s="32">
        <f>IF(Tabell2[[#This Row],[Yrkesaktivandel]]&lt;=J$427,J$427,IF(Tabell2[[#This Row],[Yrkesaktivandel]]&gt;=J$428,J$428,Tabell2[[#This Row],[Yrkesaktivandel]]))</f>
        <v>0.81321410829607554</v>
      </c>
      <c r="T216" s="67">
        <f>IF(Tabell2[[#This Row],[Inntekt]]&lt;=K$427,K$427,IF(Tabell2[[#This Row],[Inntekt]]&gt;=K$428,K$428,Tabell2[[#This Row],[Inntekt]]))</f>
        <v>427100</v>
      </c>
      <c r="U216" s="10">
        <f>IF(Tabell2[[#This Row],[NIBR11-T]]&lt;=L$430,100,IF(Tabell2[[#This Row],[NIBR11-T]]&gt;=L$429,0,100*(L$429-Tabell2[[#This Row],[NIBR11-T]])/L$432))</f>
        <v>100</v>
      </c>
      <c r="V216" s="10">
        <f>(M$429-Tabell2[[#This Row],[ReisetidOslo-T]])*100/M$432</f>
        <v>44.50233760463685</v>
      </c>
      <c r="W216" s="10">
        <f>100-(N$429-Tabell2[[#This Row],[Beftettotal-T]])*100/N$432</f>
        <v>51.918547005487028</v>
      </c>
      <c r="X216" s="10">
        <f>100-(O$429-Tabell2[[#This Row],[Befvekst10-T]])*100/O$432</f>
        <v>100</v>
      </c>
      <c r="Y216" s="10">
        <f>100-(P$429-Tabell2[[#This Row],[Kvinneandel-T]])*100/P$432</f>
        <v>98.559697982604973</v>
      </c>
      <c r="Z216" s="10">
        <f>(Q$429-Tabell2[[#This Row],[Eldreandel-T]])*100/Q$432</f>
        <v>100</v>
      </c>
      <c r="AA216" s="10">
        <f>100-(R$429-Tabell2[[#This Row],[Sysselsettingsvekst10-T]])*100/R$432</f>
        <v>84.61366948710851</v>
      </c>
      <c r="AB216" s="10">
        <f>100-(S$429-Tabell2[[#This Row],[Yrkesaktivandel-T]])*100/S$432</f>
        <v>12.541378707164128</v>
      </c>
      <c r="AC216" s="10">
        <f>100-(T$429-Tabell2[[#This Row],[Inntekt-T]])*100/T$432</f>
        <v>75.497056536709991</v>
      </c>
      <c r="AD21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76.835283833240908</v>
      </c>
    </row>
    <row r="217" spans="1:30" x14ac:dyDescent="0.25">
      <c r="A217" s="2" t="s">
        <v>211</v>
      </c>
      <c r="B217" s="2">
        <v>215</v>
      </c>
      <c r="C217">
        <f>'Rådata-K'!N216</f>
        <v>1</v>
      </c>
      <c r="D217" s="30">
        <f>'Rådata-K'!M216</f>
        <v>167.9375</v>
      </c>
      <c r="E217" s="32">
        <f>'Rådata-K'!O216</f>
        <v>170.1019099682797</v>
      </c>
      <c r="F217" s="32">
        <f>'Rådata-K'!P216</f>
        <v>0.21225530277523919</v>
      </c>
      <c r="G217" s="32">
        <f>'Rådata-K'!Q216</f>
        <v>0.12886843358197111</v>
      </c>
      <c r="H217" s="32">
        <f>'Rådata-K'!R216</f>
        <v>0.10597524202507538</v>
      </c>
      <c r="I217" s="32">
        <f>'Rådata-K'!S216</f>
        <v>0.28404082579447931</v>
      </c>
      <c r="J217" s="32">
        <f>'Rådata-K'!T216</f>
        <v>0.83726699745205846</v>
      </c>
      <c r="K217" s="67">
        <f>'Rådata-K'!L216</f>
        <v>463200</v>
      </c>
      <c r="L217" s="18">
        <f>Tabell2[[#This Row],[NIBR11]]</f>
        <v>1</v>
      </c>
      <c r="M217" s="32">
        <f>IF(Tabell2[[#This Row],[ReisetidOslo]]&lt;=D$427,D$427,IF(Tabell2[[#This Row],[ReisetidOslo]]&gt;=D$428,D$428,Tabell2[[#This Row],[ReisetidOslo]]))</f>
        <v>167.9375</v>
      </c>
      <c r="N217" s="32">
        <f>IF(Tabell2[[#This Row],[Beftettotal]]&lt;=E$427,E$427,IF(Tabell2[[#This Row],[Beftettotal]]&gt;=E$428,E$428,Tabell2[[#This Row],[Beftettotal]]))</f>
        <v>135.41854576488009</v>
      </c>
      <c r="O217" s="32">
        <f>IF(Tabell2[[#This Row],[Befvekst10]]&lt;=F$427,F$427,IF(Tabell2[[#This Row],[Befvekst10]]&gt;=F$428,F$428,Tabell2[[#This Row],[Befvekst10]]))</f>
        <v>0.17761328412400704</v>
      </c>
      <c r="P217" s="32">
        <f>IF(Tabell2[[#This Row],[Kvinneandel]]&lt;=G$427,G$427,IF(Tabell2[[#This Row],[Kvinneandel]]&gt;=G$428,G$428,Tabell2[[#This Row],[Kvinneandel]]))</f>
        <v>0.12777681011054584</v>
      </c>
      <c r="Q217" s="32">
        <f>IF(Tabell2[[#This Row],[Eldreandel]]&lt;=H$427,H$427,IF(Tabell2[[#This Row],[Eldreandel]]&gt;=H$428,H$428,Tabell2[[#This Row],[Eldreandel]]))</f>
        <v>0.13032022035982854</v>
      </c>
      <c r="R217" s="32">
        <f>IF(Tabell2[[#This Row],[Sysselsettingsvekst10]]&lt;=I$427,I$427,IF(Tabell2[[#This Row],[Sysselsettingsvekst10]]&gt;=I$428,I$428,Tabell2[[#This Row],[Sysselsettingsvekst10]]))</f>
        <v>0.17904192152607218</v>
      </c>
      <c r="S217" s="32">
        <f>IF(Tabell2[[#This Row],[Yrkesaktivandel]]&lt;=J$427,J$427,IF(Tabell2[[#This Row],[Yrkesaktivandel]]&gt;=J$428,J$428,Tabell2[[#This Row],[Yrkesaktivandel]]))</f>
        <v>0.83726699745205846</v>
      </c>
      <c r="T217" s="67">
        <f>IF(Tabell2[[#This Row],[Inntekt]]&lt;=K$427,K$427,IF(Tabell2[[#This Row],[Inntekt]]&gt;=K$428,K$428,Tabell2[[#This Row],[Inntekt]]))</f>
        <v>449160</v>
      </c>
      <c r="U217" s="10">
        <f>IF(Tabell2[[#This Row],[NIBR11-T]]&lt;=L$430,100,IF(Tabell2[[#This Row],[NIBR11-T]]&gt;=L$429,0,100*(L$429-Tabell2[[#This Row],[NIBR11-T]])/L$432))</f>
        <v>100</v>
      </c>
      <c r="V217" s="10">
        <f>(M$429-Tabell2[[#This Row],[ReisetidOslo-T]])*100/M$432</f>
        <v>51.180246315201337</v>
      </c>
      <c r="W217" s="10">
        <f>100-(N$429-Tabell2[[#This Row],[Beftettotal-T]])*100/N$432</f>
        <v>100</v>
      </c>
      <c r="X217" s="10">
        <f>100-(O$429-Tabell2[[#This Row],[Befvekst10-T]])*100/O$432</f>
        <v>100</v>
      </c>
      <c r="Y217" s="10">
        <f>100-(P$429-Tabell2[[#This Row],[Kvinneandel-T]])*100/P$432</f>
        <v>100</v>
      </c>
      <c r="Z217" s="10">
        <f>(Q$429-Tabell2[[#This Row],[Eldreandel-T]])*100/Q$432</f>
        <v>100</v>
      </c>
      <c r="AA217" s="10">
        <f>100-(R$429-Tabell2[[#This Row],[Sysselsettingsvekst10-T]])*100/R$432</f>
        <v>100</v>
      </c>
      <c r="AB217" s="10">
        <f>100-(S$429-Tabell2[[#This Row],[Yrkesaktivandel-T]])*100/S$432</f>
        <v>31.197854492017825</v>
      </c>
      <c r="AC217" s="10">
        <f>100-(T$429-Tabell2[[#This Row],[Inntekt-T]])*100/T$432</f>
        <v>100</v>
      </c>
      <c r="AD21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88.237810080721928</v>
      </c>
    </row>
    <row r="218" spans="1:30" x14ac:dyDescent="0.25">
      <c r="A218" s="2" t="s">
        <v>212</v>
      </c>
      <c r="B218" s="2">
        <v>216</v>
      </c>
      <c r="C218">
        <f>'Rådata-K'!N217</f>
        <v>1</v>
      </c>
      <c r="D218" s="30">
        <f>'Rådata-K'!M217</f>
        <v>166.875</v>
      </c>
      <c r="E218" s="32">
        <f>'Rådata-K'!O217</f>
        <v>285.01780063291136</v>
      </c>
      <c r="F218" s="32">
        <f>'Rådata-K'!P217</f>
        <v>0.25210704665913641</v>
      </c>
      <c r="G218" s="32">
        <f>'Rådata-K'!Q217</f>
        <v>0.12893376357517089</v>
      </c>
      <c r="H218" s="32">
        <f>'Rådata-K'!R217</f>
        <v>0.11755317303355192</v>
      </c>
      <c r="I218" s="32">
        <f>'Rådata-K'!S217</f>
        <v>0.28987156559908955</v>
      </c>
      <c r="J218" s="32">
        <f>'Rådata-K'!T217</f>
        <v>0.85145015842066785</v>
      </c>
      <c r="K218" s="67">
        <f>'Rådata-K'!L217</f>
        <v>436700</v>
      </c>
      <c r="L218" s="18">
        <f>Tabell2[[#This Row],[NIBR11]]</f>
        <v>1</v>
      </c>
      <c r="M218" s="32">
        <f>IF(Tabell2[[#This Row],[ReisetidOslo]]&lt;=D$427,D$427,IF(Tabell2[[#This Row],[ReisetidOslo]]&gt;=D$428,D$428,Tabell2[[#This Row],[ReisetidOslo]]))</f>
        <v>166.875</v>
      </c>
      <c r="N218" s="32">
        <f>IF(Tabell2[[#This Row],[Beftettotal]]&lt;=E$427,E$427,IF(Tabell2[[#This Row],[Beftettotal]]&gt;=E$428,E$428,Tabell2[[#This Row],[Beftettotal]]))</f>
        <v>135.41854576488009</v>
      </c>
      <c r="O218" s="32">
        <f>IF(Tabell2[[#This Row],[Befvekst10]]&lt;=F$427,F$427,IF(Tabell2[[#This Row],[Befvekst10]]&gt;=F$428,F$428,Tabell2[[#This Row],[Befvekst10]]))</f>
        <v>0.17761328412400704</v>
      </c>
      <c r="P218" s="32">
        <f>IF(Tabell2[[#This Row],[Kvinneandel]]&lt;=G$427,G$427,IF(Tabell2[[#This Row],[Kvinneandel]]&gt;=G$428,G$428,Tabell2[[#This Row],[Kvinneandel]]))</f>
        <v>0.12777681011054584</v>
      </c>
      <c r="Q218" s="32">
        <f>IF(Tabell2[[#This Row],[Eldreandel]]&lt;=H$427,H$427,IF(Tabell2[[#This Row],[Eldreandel]]&gt;=H$428,H$428,Tabell2[[#This Row],[Eldreandel]]))</f>
        <v>0.13032022035982854</v>
      </c>
      <c r="R218" s="32">
        <f>IF(Tabell2[[#This Row],[Sysselsettingsvekst10]]&lt;=I$427,I$427,IF(Tabell2[[#This Row],[Sysselsettingsvekst10]]&gt;=I$428,I$428,Tabell2[[#This Row],[Sysselsettingsvekst10]]))</f>
        <v>0.17904192152607218</v>
      </c>
      <c r="S218" s="32">
        <f>IF(Tabell2[[#This Row],[Yrkesaktivandel]]&lt;=J$427,J$427,IF(Tabell2[[#This Row],[Yrkesaktivandel]]&gt;=J$428,J$428,Tabell2[[#This Row],[Yrkesaktivandel]]))</f>
        <v>0.85145015842066785</v>
      </c>
      <c r="T218" s="67">
        <f>IF(Tabell2[[#This Row],[Inntekt]]&lt;=K$427,K$427,IF(Tabell2[[#This Row],[Inntekt]]&gt;=K$428,K$428,Tabell2[[#This Row],[Inntekt]]))</f>
        <v>436700</v>
      </c>
      <c r="U218" s="10">
        <f>IF(Tabell2[[#This Row],[NIBR11-T]]&lt;=L$430,100,IF(Tabell2[[#This Row],[NIBR11-T]]&gt;=L$429,0,100*(L$429-Tabell2[[#This Row],[NIBR11-T]])/L$432))</f>
        <v>100</v>
      </c>
      <c r="V218" s="10">
        <f>(M$429-Tabell2[[#This Row],[ReisetidOslo-T]])*100/M$432</f>
        <v>51.638006186490031</v>
      </c>
      <c r="W218" s="10">
        <f>100-(N$429-Tabell2[[#This Row],[Beftettotal-T]])*100/N$432</f>
        <v>100</v>
      </c>
      <c r="X218" s="10">
        <f>100-(O$429-Tabell2[[#This Row],[Befvekst10-T]])*100/O$432</f>
        <v>100</v>
      </c>
      <c r="Y218" s="10">
        <f>100-(P$429-Tabell2[[#This Row],[Kvinneandel-T]])*100/P$432</f>
        <v>100</v>
      </c>
      <c r="Z218" s="10">
        <f>(Q$429-Tabell2[[#This Row],[Eldreandel-T]])*100/Q$432</f>
        <v>100</v>
      </c>
      <c r="AA218" s="10">
        <f>100-(R$429-Tabell2[[#This Row],[Sysselsettingsvekst10-T]])*100/R$432</f>
        <v>100</v>
      </c>
      <c r="AB218" s="10">
        <f>100-(S$429-Tabell2[[#This Row],[Yrkesaktivandel-T]])*100/S$432</f>
        <v>42.198936210208196</v>
      </c>
      <c r="AC218" s="10">
        <f>100-(T$429-Tabell2[[#This Row],[Inntekt-T]])*100/T$432</f>
        <v>86.160168832611348</v>
      </c>
      <c r="AD21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87.999711122930961</v>
      </c>
    </row>
    <row r="219" spans="1:30" x14ac:dyDescent="0.25">
      <c r="A219" s="2" t="s">
        <v>213</v>
      </c>
      <c r="B219" s="2">
        <v>217</v>
      </c>
      <c r="C219">
        <f>'Rådata-K'!N218</f>
        <v>1</v>
      </c>
      <c r="D219" s="30">
        <f>'Rådata-K'!M218</f>
        <v>205.75</v>
      </c>
      <c r="E219" s="32">
        <f>'Rådata-K'!O218</f>
        <v>5.7634510812586495</v>
      </c>
      <c r="F219" s="32">
        <f>'Rådata-K'!P218</f>
        <v>7.0835368832438128E-3</v>
      </c>
      <c r="G219" s="32">
        <f>'Rådata-K'!Q218</f>
        <v>0.1118117875333495</v>
      </c>
      <c r="H219" s="32">
        <f>'Rådata-K'!R218</f>
        <v>0.18991025951976717</v>
      </c>
      <c r="I219" s="32">
        <f>'Rådata-K'!S218</f>
        <v>-0.21606118546845121</v>
      </c>
      <c r="J219" s="32">
        <f>'Rådata-K'!T218</f>
        <v>0.81117957746478875</v>
      </c>
      <c r="K219" s="67">
        <f>'Rådata-K'!L218</f>
        <v>375000</v>
      </c>
      <c r="L219" s="18">
        <f>Tabell2[[#This Row],[NIBR11]]</f>
        <v>1</v>
      </c>
      <c r="M219" s="32">
        <f>IF(Tabell2[[#This Row],[ReisetidOslo]]&lt;=D$427,D$427,IF(Tabell2[[#This Row],[ReisetidOslo]]&gt;=D$428,D$428,Tabell2[[#This Row],[ReisetidOslo]]))</f>
        <v>205.75</v>
      </c>
      <c r="N219" s="32">
        <f>IF(Tabell2[[#This Row],[Beftettotal]]&lt;=E$427,E$427,IF(Tabell2[[#This Row],[Beftettotal]]&gt;=E$428,E$428,Tabell2[[#This Row],[Beftettotal]]))</f>
        <v>5.7634510812586495</v>
      </c>
      <c r="O219" s="32">
        <f>IF(Tabell2[[#This Row],[Befvekst10]]&lt;=F$427,F$427,IF(Tabell2[[#This Row],[Befvekst10]]&gt;=F$428,F$428,Tabell2[[#This Row],[Befvekst10]]))</f>
        <v>7.0835368832438128E-3</v>
      </c>
      <c r="P219" s="32">
        <f>IF(Tabell2[[#This Row],[Kvinneandel]]&lt;=G$427,G$427,IF(Tabell2[[#This Row],[Kvinneandel]]&gt;=G$428,G$428,Tabell2[[#This Row],[Kvinneandel]]))</f>
        <v>0.1118117875333495</v>
      </c>
      <c r="Q219" s="32">
        <f>IF(Tabell2[[#This Row],[Eldreandel]]&lt;=H$427,H$427,IF(Tabell2[[#This Row],[Eldreandel]]&gt;=H$428,H$428,Tabell2[[#This Row],[Eldreandel]]))</f>
        <v>0.18991025951976717</v>
      </c>
      <c r="R219" s="32">
        <f>IF(Tabell2[[#This Row],[Sysselsettingsvekst10]]&lt;=I$427,I$427,IF(Tabell2[[#This Row],[Sysselsettingsvekst10]]&gt;=I$428,I$428,Tabell2[[#This Row],[Sysselsettingsvekst10]]))</f>
        <v>-0.10679965679965678</v>
      </c>
      <c r="S219" s="32">
        <f>IF(Tabell2[[#This Row],[Yrkesaktivandel]]&lt;=J$427,J$427,IF(Tabell2[[#This Row],[Yrkesaktivandel]]&gt;=J$428,J$428,Tabell2[[#This Row],[Yrkesaktivandel]]))</f>
        <v>0.81117957746478875</v>
      </c>
      <c r="T219" s="67">
        <f>IF(Tabell2[[#This Row],[Inntekt]]&lt;=K$427,K$427,IF(Tabell2[[#This Row],[Inntekt]]&gt;=K$428,K$428,Tabell2[[#This Row],[Inntekt]]))</f>
        <v>375000</v>
      </c>
      <c r="U219" s="10">
        <f>IF(Tabell2[[#This Row],[NIBR11-T]]&lt;=L$430,100,IF(Tabell2[[#This Row],[NIBR11-T]]&gt;=L$429,0,100*(L$429-Tabell2[[#This Row],[NIBR11-T]])/L$432))</f>
        <v>100</v>
      </c>
      <c r="V219" s="10">
        <f>(M$429-Tabell2[[#This Row],[ReisetidOslo-T]])*100/M$432</f>
        <v>34.889380307574257</v>
      </c>
      <c r="W219" s="10">
        <f>100-(N$429-Tabell2[[#This Row],[Beftettotal-T]])*100/N$432</f>
        <v>3.3672979867352524</v>
      </c>
      <c r="X219" s="10">
        <f>100-(O$429-Tabell2[[#This Row],[Befvekst10-T]])*100/O$432</f>
        <v>26.540081366539113</v>
      </c>
      <c r="Y219" s="10">
        <f>100-(P$429-Tabell2[[#This Row],[Kvinneandel-T]])*100/P$432</f>
        <v>57.831534893477297</v>
      </c>
      <c r="Z219" s="10">
        <f>(Q$429-Tabell2[[#This Row],[Eldreandel-T]])*100/Q$432</f>
        <v>35.725452603740194</v>
      </c>
      <c r="AA219" s="10">
        <f>100-(R$429-Tabell2[[#This Row],[Sysselsettingsvekst10-T]])*100/R$432</f>
        <v>0</v>
      </c>
      <c r="AB219" s="10">
        <f>100-(S$429-Tabell2[[#This Row],[Yrkesaktivandel-T]])*100/S$432</f>
        <v>10.963307360254902</v>
      </c>
      <c r="AC219" s="10">
        <f>100-(T$429-Tabell2[[#This Row],[Inntekt-T]])*100/T$432</f>
        <v>17.627457514161947</v>
      </c>
      <c r="AD21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36.670609965041329</v>
      </c>
    </row>
    <row r="220" spans="1:30" x14ac:dyDescent="0.25">
      <c r="A220" s="2" t="s">
        <v>214</v>
      </c>
      <c r="B220" s="2">
        <v>218</v>
      </c>
      <c r="C220">
        <f>'Rådata-K'!N219</f>
        <v>5</v>
      </c>
      <c r="D220" s="30">
        <f>'Rådata-K'!M219</f>
        <v>232.375</v>
      </c>
      <c r="E220" s="32">
        <f>'Rådata-K'!O219</f>
        <v>0.92963421442268024</v>
      </c>
      <c r="F220" s="32">
        <f>'Rådata-K'!P219</f>
        <v>7.5842696629213391E-2</v>
      </c>
      <c r="G220" s="32">
        <f>'Rådata-K'!Q219</f>
        <v>0.11488250652741515</v>
      </c>
      <c r="H220" s="32">
        <f>'Rådata-K'!R219</f>
        <v>0.16187989556135771</v>
      </c>
      <c r="I220" s="32">
        <f>'Rådata-K'!S219</f>
        <v>6.0465116279069697E-2</v>
      </c>
      <c r="J220" s="32">
        <f>'Rådata-K'!T219</f>
        <v>0.82547169811320753</v>
      </c>
      <c r="K220" s="67">
        <f>'Rådata-K'!L219</f>
        <v>448100</v>
      </c>
      <c r="L220" s="18">
        <f>Tabell2[[#This Row],[NIBR11]]</f>
        <v>5</v>
      </c>
      <c r="M220" s="32">
        <f>IF(Tabell2[[#This Row],[ReisetidOslo]]&lt;=D$427,D$427,IF(Tabell2[[#This Row],[ReisetidOslo]]&gt;=D$428,D$428,Tabell2[[#This Row],[ReisetidOslo]]))</f>
        <v>232.375</v>
      </c>
      <c r="N220" s="32">
        <f>IF(Tabell2[[#This Row],[Beftettotal]]&lt;=E$427,E$427,IF(Tabell2[[#This Row],[Beftettotal]]&gt;=E$428,E$428,Tabell2[[#This Row],[Beftettotal]]))</f>
        <v>1.2454428893921135</v>
      </c>
      <c r="O220" s="32">
        <f>IF(Tabell2[[#This Row],[Befvekst10]]&lt;=F$427,F$427,IF(Tabell2[[#This Row],[Befvekst10]]&gt;=F$428,F$428,Tabell2[[#This Row],[Befvekst10]]))</f>
        <v>7.5842696629213391E-2</v>
      </c>
      <c r="P220" s="32">
        <f>IF(Tabell2[[#This Row],[Kvinneandel]]&lt;=G$427,G$427,IF(Tabell2[[#This Row],[Kvinneandel]]&gt;=G$428,G$428,Tabell2[[#This Row],[Kvinneandel]]))</f>
        <v>0.11488250652741515</v>
      </c>
      <c r="Q220" s="32">
        <f>IF(Tabell2[[#This Row],[Eldreandel]]&lt;=H$427,H$427,IF(Tabell2[[#This Row],[Eldreandel]]&gt;=H$428,H$428,Tabell2[[#This Row],[Eldreandel]]))</f>
        <v>0.16187989556135771</v>
      </c>
      <c r="R220" s="32">
        <f>IF(Tabell2[[#This Row],[Sysselsettingsvekst10]]&lt;=I$427,I$427,IF(Tabell2[[#This Row],[Sysselsettingsvekst10]]&gt;=I$428,I$428,Tabell2[[#This Row],[Sysselsettingsvekst10]]))</f>
        <v>6.0465116279069697E-2</v>
      </c>
      <c r="S220" s="32">
        <f>IF(Tabell2[[#This Row],[Yrkesaktivandel]]&lt;=J$427,J$427,IF(Tabell2[[#This Row],[Yrkesaktivandel]]&gt;=J$428,J$428,Tabell2[[#This Row],[Yrkesaktivandel]]))</f>
        <v>0.82547169811320753</v>
      </c>
      <c r="T220" s="67">
        <f>IF(Tabell2[[#This Row],[Inntekt]]&lt;=K$427,K$427,IF(Tabell2[[#This Row],[Inntekt]]&gt;=K$428,K$428,Tabell2[[#This Row],[Inntekt]]))</f>
        <v>448100</v>
      </c>
      <c r="U220" s="10">
        <f>IF(Tabell2[[#This Row],[NIBR11-T]]&lt;=L$430,100,IF(Tabell2[[#This Row],[NIBR11-T]]&gt;=L$429,0,100*(L$429-Tabell2[[#This Row],[NIBR11-T]])/L$432))</f>
        <v>60</v>
      </c>
      <c r="V220" s="10">
        <f>(M$429-Tabell2[[#This Row],[ReisetidOslo-T]])*100/M$432</f>
        <v>23.418456474104605</v>
      </c>
      <c r="W220" s="10">
        <f>100-(N$429-Tabell2[[#This Row],[Beftettotal-T]])*100/N$432</f>
        <v>0</v>
      </c>
      <c r="X220" s="10">
        <f>100-(O$429-Tabell2[[#This Row],[Befvekst10-T]])*100/O$432</f>
        <v>56.159795005783103</v>
      </c>
      <c r="Y220" s="10">
        <f>100-(P$429-Tabell2[[#This Row],[Kvinneandel-T]])*100/P$432</f>
        <v>65.942234776742566</v>
      </c>
      <c r="Z220" s="10">
        <f>(Q$429-Tabell2[[#This Row],[Eldreandel-T]])*100/Q$432</f>
        <v>65.959347096469656</v>
      </c>
      <c r="AA220" s="10">
        <f>100-(R$429-Tabell2[[#This Row],[Sysselsettingsvekst10-T]])*100/R$432</f>
        <v>58.51660001965179</v>
      </c>
      <c r="AB220" s="10">
        <f>100-(S$429-Tabell2[[#This Row],[Yrkesaktivandel-T]])*100/S$432</f>
        <v>22.048902985057765</v>
      </c>
      <c r="AC220" s="10">
        <f>100-(T$429-Tabell2[[#This Row],[Inntekt-T]])*100/T$432</f>
        <v>98.822614683994217</v>
      </c>
      <c r="AD22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50.107695511098065</v>
      </c>
    </row>
    <row r="221" spans="1:30" x14ac:dyDescent="0.25">
      <c r="A221" s="2" t="s">
        <v>215</v>
      </c>
      <c r="B221" s="2">
        <v>219</v>
      </c>
      <c r="C221">
        <f>'Rådata-K'!N220</f>
        <v>1</v>
      </c>
      <c r="D221" s="30">
        <f>'Rådata-K'!M220</f>
        <v>190.34375</v>
      </c>
      <c r="E221" s="32">
        <f>'Rådata-K'!O220</f>
        <v>31.459705236751333</v>
      </c>
      <c r="F221" s="32">
        <f>'Rådata-K'!P220</f>
        <v>0.1168939604787087</v>
      </c>
      <c r="G221" s="32">
        <f>'Rådata-K'!Q220</f>
        <v>0.12073261898828806</v>
      </c>
      <c r="H221" s="32">
        <f>'Rådata-K'!R220</f>
        <v>0.15512085721405433</v>
      </c>
      <c r="I221" s="32">
        <f>'Rådata-K'!S220</f>
        <v>6.4299802761341285E-2</v>
      </c>
      <c r="J221" s="32">
        <f>'Rådata-K'!T220</f>
        <v>0.88351893095768375</v>
      </c>
      <c r="K221" s="67">
        <f>'Rådata-K'!L220</f>
        <v>401300</v>
      </c>
      <c r="L221" s="18">
        <f>Tabell2[[#This Row],[NIBR11]]</f>
        <v>1</v>
      </c>
      <c r="M221" s="32">
        <f>IF(Tabell2[[#This Row],[ReisetidOslo]]&lt;=D$427,D$427,IF(Tabell2[[#This Row],[ReisetidOslo]]&gt;=D$428,D$428,Tabell2[[#This Row],[ReisetidOslo]]))</f>
        <v>190.34375</v>
      </c>
      <c r="N221" s="32">
        <f>IF(Tabell2[[#This Row],[Beftettotal]]&lt;=E$427,E$427,IF(Tabell2[[#This Row],[Beftettotal]]&gt;=E$428,E$428,Tabell2[[#This Row],[Beftettotal]]))</f>
        <v>31.459705236751333</v>
      </c>
      <c r="O221" s="32">
        <f>IF(Tabell2[[#This Row],[Befvekst10]]&lt;=F$427,F$427,IF(Tabell2[[#This Row],[Befvekst10]]&gt;=F$428,F$428,Tabell2[[#This Row],[Befvekst10]]))</f>
        <v>0.1168939604787087</v>
      </c>
      <c r="P221" s="32">
        <f>IF(Tabell2[[#This Row],[Kvinneandel]]&lt;=G$427,G$427,IF(Tabell2[[#This Row],[Kvinneandel]]&gt;=G$428,G$428,Tabell2[[#This Row],[Kvinneandel]]))</f>
        <v>0.12073261898828806</v>
      </c>
      <c r="Q221" s="32">
        <f>IF(Tabell2[[#This Row],[Eldreandel]]&lt;=H$427,H$427,IF(Tabell2[[#This Row],[Eldreandel]]&gt;=H$428,H$428,Tabell2[[#This Row],[Eldreandel]]))</f>
        <v>0.15512085721405433</v>
      </c>
      <c r="R221" s="32">
        <f>IF(Tabell2[[#This Row],[Sysselsettingsvekst10]]&lt;=I$427,I$427,IF(Tabell2[[#This Row],[Sysselsettingsvekst10]]&gt;=I$428,I$428,Tabell2[[#This Row],[Sysselsettingsvekst10]]))</f>
        <v>6.4299802761341285E-2</v>
      </c>
      <c r="S221" s="32">
        <f>IF(Tabell2[[#This Row],[Yrkesaktivandel]]&lt;=J$427,J$427,IF(Tabell2[[#This Row],[Yrkesaktivandel]]&gt;=J$428,J$428,Tabell2[[#This Row],[Yrkesaktivandel]]))</f>
        <v>0.88351893095768375</v>
      </c>
      <c r="T221" s="67">
        <f>IF(Tabell2[[#This Row],[Inntekt]]&lt;=K$427,K$427,IF(Tabell2[[#This Row],[Inntekt]]&gt;=K$428,K$428,Tabell2[[#This Row],[Inntekt]]))</f>
        <v>401300</v>
      </c>
      <c r="U221" s="10">
        <f>IF(Tabell2[[#This Row],[NIBR11-T]]&lt;=L$430,100,IF(Tabell2[[#This Row],[NIBR11-T]]&gt;=L$429,0,100*(L$429-Tabell2[[#This Row],[NIBR11-T]])/L$432))</f>
        <v>100</v>
      </c>
      <c r="V221" s="10">
        <f>(M$429-Tabell2[[#This Row],[ReisetidOslo-T]])*100/M$432</f>
        <v>41.526898441260329</v>
      </c>
      <c r="W221" s="10">
        <f>100-(N$429-Tabell2[[#This Row],[Beftettotal-T]])*100/N$432</f>
        <v>22.518866821912823</v>
      </c>
      <c r="X221" s="10">
        <f>100-(O$429-Tabell2[[#This Row],[Befvekst10-T]])*100/O$432</f>
        <v>73.843645190156153</v>
      </c>
      <c r="Y221" s="10">
        <f>100-(P$429-Tabell2[[#This Row],[Kvinneandel-T]])*100/P$432</f>
        <v>81.39415549797684</v>
      </c>
      <c r="Z221" s="10">
        <f>(Q$429-Tabell2[[#This Row],[Eldreandel-T]])*100/Q$432</f>
        <v>73.249728789975094</v>
      </c>
      <c r="AA221" s="10">
        <f>100-(R$429-Tabell2[[#This Row],[Sysselsettingsvekst10-T]])*100/R$432</f>
        <v>59.858142598842903</v>
      </c>
      <c r="AB221" s="10">
        <f>100-(S$429-Tabell2[[#This Row],[Yrkesaktivandel-T]])*100/S$432</f>
        <v>67.072882720621465</v>
      </c>
      <c r="AC221" s="10">
        <f>100-(T$429-Tabell2[[#This Row],[Inntekt-T]])*100/T$432</f>
        <v>46.839942241475065</v>
      </c>
      <c r="AD22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66.28259653484011</v>
      </c>
    </row>
    <row r="222" spans="1:30" x14ac:dyDescent="0.25">
      <c r="A222" s="2" t="s">
        <v>216</v>
      </c>
      <c r="B222" s="2">
        <v>220</v>
      </c>
      <c r="C222">
        <f>'Rådata-K'!N221</f>
        <v>1</v>
      </c>
      <c r="D222" s="30">
        <f>'Rådata-K'!M221</f>
        <v>188.65625</v>
      </c>
      <c r="E222" s="32">
        <f>'Rådata-K'!O221</f>
        <v>86.63858284726723</v>
      </c>
      <c r="F222" s="32">
        <f>'Rådata-K'!P221</f>
        <v>0.33327792553191493</v>
      </c>
      <c r="G222" s="32">
        <f>'Rådata-K'!Q221</f>
        <v>0.12978431617005362</v>
      </c>
      <c r="H222" s="32">
        <f>'Rådata-K'!R221</f>
        <v>0.1145742426131405</v>
      </c>
      <c r="I222" s="32">
        <f>'Rådata-K'!S221</f>
        <v>0.19977740678909295</v>
      </c>
      <c r="J222" s="32">
        <f>'Rådata-K'!T221</f>
        <v>0.86008771929824557</v>
      </c>
      <c r="K222" s="67">
        <f>'Rådata-K'!L221</f>
        <v>433800</v>
      </c>
      <c r="L222" s="18">
        <f>Tabell2[[#This Row],[NIBR11]]</f>
        <v>1</v>
      </c>
      <c r="M222" s="32">
        <f>IF(Tabell2[[#This Row],[ReisetidOslo]]&lt;=D$427,D$427,IF(Tabell2[[#This Row],[ReisetidOslo]]&gt;=D$428,D$428,Tabell2[[#This Row],[ReisetidOslo]]))</f>
        <v>188.65625</v>
      </c>
      <c r="N222" s="32">
        <f>IF(Tabell2[[#This Row],[Beftettotal]]&lt;=E$427,E$427,IF(Tabell2[[#This Row],[Beftettotal]]&gt;=E$428,E$428,Tabell2[[#This Row],[Beftettotal]]))</f>
        <v>86.63858284726723</v>
      </c>
      <c r="O222" s="32">
        <f>IF(Tabell2[[#This Row],[Befvekst10]]&lt;=F$427,F$427,IF(Tabell2[[#This Row],[Befvekst10]]&gt;=F$428,F$428,Tabell2[[#This Row],[Befvekst10]]))</f>
        <v>0.17761328412400704</v>
      </c>
      <c r="P222" s="32">
        <f>IF(Tabell2[[#This Row],[Kvinneandel]]&lt;=G$427,G$427,IF(Tabell2[[#This Row],[Kvinneandel]]&gt;=G$428,G$428,Tabell2[[#This Row],[Kvinneandel]]))</f>
        <v>0.12777681011054584</v>
      </c>
      <c r="Q222" s="32">
        <f>IF(Tabell2[[#This Row],[Eldreandel]]&lt;=H$427,H$427,IF(Tabell2[[#This Row],[Eldreandel]]&gt;=H$428,H$428,Tabell2[[#This Row],[Eldreandel]]))</f>
        <v>0.13032022035982854</v>
      </c>
      <c r="R222" s="32">
        <f>IF(Tabell2[[#This Row],[Sysselsettingsvekst10]]&lt;=I$427,I$427,IF(Tabell2[[#This Row],[Sysselsettingsvekst10]]&gt;=I$428,I$428,Tabell2[[#This Row],[Sysselsettingsvekst10]]))</f>
        <v>0.17904192152607218</v>
      </c>
      <c r="S222" s="32">
        <f>IF(Tabell2[[#This Row],[Yrkesaktivandel]]&lt;=J$427,J$427,IF(Tabell2[[#This Row],[Yrkesaktivandel]]&gt;=J$428,J$428,Tabell2[[#This Row],[Yrkesaktivandel]]))</f>
        <v>0.86008771929824557</v>
      </c>
      <c r="T222" s="67">
        <f>IF(Tabell2[[#This Row],[Inntekt]]&lt;=K$427,K$427,IF(Tabell2[[#This Row],[Inntekt]]&gt;=K$428,K$428,Tabell2[[#This Row],[Inntekt]]))</f>
        <v>433800</v>
      </c>
      <c r="U222" s="10">
        <f>IF(Tabell2[[#This Row],[NIBR11-T]]&lt;=L$430,100,IF(Tabell2[[#This Row],[NIBR11-T]]&gt;=L$429,0,100*(L$429-Tabell2[[#This Row],[NIBR11-T]])/L$432))</f>
        <v>100</v>
      </c>
      <c r="V222" s="10">
        <f>(M$429-Tabell2[[#This Row],[ReisetidOslo-T]])*100/M$432</f>
        <v>42.253928825071789</v>
      </c>
      <c r="W222" s="10">
        <f>100-(N$429-Tabell2[[#This Row],[Beftettotal-T]])*100/N$432</f>
        <v>63.644007724200549</v>
      </c>
      <c r="X222" s="10">
        <f>100-(O$429-Tabell2[[#This Row],[Befvekst10-T]])*100/O$432</f>
        <v>100</v>
      </c>
      <c r="Y222" s="10">
        <f>100-(P$429-Tabell2[[#This Row],[Kvinneandel-T]])*100/P$432</f>
        <v>100</v>
      </c>
      <c r="Z222" s="10">
        <f>(Q$429-Tabell2[[#This Row],[Eldreandel-T]])*100/Q$432</f>
        <v>100</v>
      </c>
      <c r="AA222" s="10">
        <f>100-(R$429-Tabell2[[#This Row],[Sysselsettingsvekst10-T]])*100/R$432</f>
        <v>100</v>
      </c>
      <c r="AB222" s="10">
        <f>100-(S$429-Tabell2[[#This Row],[Yrkesaktivandel-T]])*100/S$432</f>
        <v>48.898607268753146</v>
      </c>
      <c r="AC222" s="10">
        <f>100-(T$429-Tabell2[[#This Row],[Inntekt-T]])*100/T$432</f>
        <v>82.939020326557809</v>
      </c>
      <c r="AD22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83.773556414458326</v>
      </c>
    </row>
    <row r="223" spans="1:30" x14ac:dyDescent="0.25">
      <c r="A223" s="2" t="s">
        <v>217</v>
      </c>
      <c r="B223" s="2">
        <v>221</v>
      </c>
      <c r="C223">
        <f>'Rådata-K'!N222</f>
        <v>1</v>
      </c>
      <c r="D223" s="30">
        <f>'Rådata-K'!M222</f>
        <v>200.09375</v>
      </c>
      <c r="E223" s="32">
        <f>'Rådata-K'!O222</f>
        <v>73.547904191616766</v>
      </c>
      <c r="F223" s="32">
        <f>'Rådata-K'!P222</f>
        <v>0.18843734881470731</v>
      </c>
      <c r="G223" s="32">
        <f>'Rådata-K'!Q222</f>
        <v>0.1172399755750051</v>
      </c>
      <c r="H223" s="32">
        <f>'Rådata-K'!R222</f>
        <v>0.13515163851007531</v>
      </c>
      <c r="I223" s="32">
        <f>'Rådata-K'!S222</f>
        <v>0.26598263614838191</v>
      </c>
      <c r="J223" s="32">
        <f>'Rådata-K'!T222</f>
        <v>0.7970170971262277</v>
      </c>
      <c r="K223" s="67">
        <f>'Rådata-K'!L222</f>
        <v>435000</v>
      </c>
      <c r="L223" s="18">
        <f>Tabell2[[#This Row],[NIBR11]]</f>
        <v>1</v>
      </c>
      <c r="M223" s="32">
        <f>IF(Tabell2[[#This Row],[ReisetidOslo]]&lt;=D$427,D$427,IF(Tabell2[[#This Row],[ReisetidOslo]]&gt;=D$428,D$428,Tabell2[[#This Row],[ReisetidOslo]]))</f>
        <v>200.09375</v>
      </c>
      <c r="N223" s="32">
        <f>IF(Tabell2[[#This Row],[Beftettotal]]&lt;=E$427,E$427,IF(Tabell2[[#This Row],[Beftettotal]]&gt;=E$428,E$428,Tabell2[[#This Row],[Beftettotal]]))</f>
        <v>73.547904191616766</v>
      </c>
      <c r="O223" s="32">
        <f>IF(Tabell2[[#This Row],[Befvekst10]]&lt;=F$427,F$427,IF(Tabell2[[#This Row],[Befvekst10]]&gt;=F$428,F$428,Tabell2[[#This Row],[Befvekst10]]))</f>
        <v>0.17761328412400704</v>
      </c>
      <c r="P223" s="32">
        <f>IF(Tabell2[[#This Row],[Kvinneandel]]&lt;=G$427,G$427,IF(Tabell2[[#This Row],[Kvinneandel]]&gt;=G$428,G$428,Tabell2[[#This Row],[Kvinneandel]]))</f>
        <v>0.1172399755750051</v>
      </c>
      <c r="Q223" s="32">
        <f>IF(Tabell2[[#This Row],[Eldreandel]]&lt;=H$427,H$427,IF(Tabell2[[#This Row],[Eldreandel]]&gt;=H$428,H$428,Tabell2[[#This Row],[Eldreandel]]))</f>
        <v>0.13515163851007531</v>
      </c>
      <c r="R223" s="32">
        <f>IF(Tabell2[[#This Row],[Sysselsettingsvekst10]]&lt;=I$427,I$427,IF(Tabell2[[#This Row],[Sysselsettingsvekst10]]&gt;=I$428,I$428,Tabell2[[#This Row],[Sysselsettingsvekst10]]))</f>
        <v>0.17904192152607218</v>
      </c>
      <c r="S223" s="32">
        <f>IF(Tabell2[[#This Row],[Yrkesaktivandel]]&lt;=J$427,J$427,IF(Tabell2[[#This Row],[Yrkesaktivandel]]&gt;=J$428,J$428,Tabell2[[#This Row],[Yrkesaktivandel]]))</f>
        <v>0.7970451171433347</v>
      </c>
      <c r="T223" s="67">
        <f>IF(Tabell2[[#This Row],[Inntekt]]&lt;=K$427,K$427,IF(Tabell2[[#This Row],[Inntekt]]&gt;=K$428,K$428,Tabell2[[#This Row],[Inntekt]]))</f>
        <v>435000</v>
      </c>
      <c r="U223" s="10">
        <f>IF(Tabell2[[#This Row],[NIBR11-T]]&lt;=L$430,100,IF(Tabell2[[#This Row],[NIBR11-T]]&gt;=L$429,0,100*(L$429-Tabell2[[#This Row],[NIBR11-T]])/L$432))</f>
        <v>100</v>
      </c>
      <c r="V223" s="10">
        <f>(M$429-Tabell2[[#This Row],[ReisetidOslo-T]])*100/M$432</f>
        <v>37.326278445905245</v>
      </c>
      <c r="W223" s="10">
        <f>100-(N$429-Tabell2[[#This Row],[Beftettotal-T]])*100/N$432</f>
        <v>53.887448193935711</v>
      </c>
      <c r="X223" s="10">
        <f>100-(O$429-Tabell2[[#This Row],[Befvekst10-T]])*100/O$432</f>
        <v>100</v>
      </c>
      <c r="Y223" s="10">
        <f>100-(P$429-Tabell2[[#This Row],[Kvinneandel-T]])*100/P$432</f>
        <v>72.169025299105982</v>
      </c>
      <c r="Z223" s="10">
        <f>(Q$429-Tabell2[[#This Row],[Eldreandel-T]])*100/Q$432</f>
        <v>94.788773102569891</v>
      </c>
      <c r="AA223" s="10">
        <f>100-(R$429-Tabell2[[#This Row],[Sysselsettingsvekst10-T]])*100/R$432</f>
        <v>100</v>
      </c>
      <c r="AB223" s="10">
        <f>100-(S$429-Tabell2[[#This Row],[Yrkesaktivandel-T]])*100/S$432</f>
        <v>0</v>
      </c>
      <c r="AC223" s="10">
        <f>100-(T$429-Tabell2[[#This Row],[Inntekt-T]])*100/T$432</f>
        <v>84.27190936354549</v>
      </c>
      <c r="AD22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75.89645352042244</v>
      </c>
    </row>
    <row r="224" spans="1:30" x14ac:dyDescent="0.25">
      <c r="A224" s="2" t="s">
        <v>218</v>
      </c>
      <c r="B224" s="2">
        <v>222</v>
      </c>
      <c r="C224">
        <f>'Rådata-K'!N223</f>
        <v>1</v>
      </c>
      <c r="D224" s="30">
        <f>'Rådata-K'!M223</f>
        <v>209.6875</v>
      </c>
      <c r="E224" s="32">
        <f>'Rådata-K'!O223</f>
        <v>46.015793251974159</v>
      </c>
      <c r="F224" s="32">
        <f>'Rådata-K'!P223</f>
        <v>0.10090167453842858</v>
      </c>
      <c r="G224" s="32">
        <f>'Rådata-K'!Q223</f>
        <v>0.1125195007800312</v>
      </c>
      <c r="H224" s="32">
        <f>'Rådata-K'!R223</f>
        <v>0.15483619344773791</v>
      </c>
      <c r="I224" s="32">
        <f>'Rådata-K'!S223</f>
        <v>-5.9163987138263652E-2</v>
      </c>
      <c r="J224" s="32">
        <f>'Rådata-K'!T223</f>
        <v>0.83134582623509368</v>
      </c>
      <c r="K224" s="67">
        <f>'Rådata-K'!L223</f>
        <v>402900</v>
      </c>
      <c r="L224" s="18">
        <f>Tabell2[[#This Row],[NIBR11]]</f>
        <v>1</v>
      </c>
      <c r="M224" s="32">
        <f>IF(Tabell2[[#This Row],[ReisetidOslo]]&lt;=D$427,D$427,IF(Tabell2[[#This Row],[ReisetidOslo]]&gt;=D$428,D$428,Tabell2[[#This Row],[ReisetidOslo]]))</f>
        <v>209.6875</v>
      </c>
      <c r="N224" s="32">
        <f>IF(Tabell2[[#This Row],[Beftettotal]]&lt;=E$427,E$427,IF(Tabell2[[#This Row],[Beftettotal]]&gt;=E$428,E$428,Tabell2[[#This Row],[Beftettotal]]))</f>
        <v>46.015793251974159</v>
      </c>
      <c r="O224" s="32">
        <f>IF(Tabell2[[#This Row],[Befvekst10]]&lt;=F$427,F$427,IF(Tabell2[[#This Row],[Befvekst10]]&gt;=F$428,F$428,Tabell2[[#This Row],[Befvekst10]]))</f>
        <v>0.10090167453842858</v>
      </c>
      <c r="P224" s="32">
        <f>IF(Tabell2[[#This Row],[Kvinneandel]]&lt;=G$427,G$427,IF(Tabell2[[#This Row],[Kvinneandel]]&gt;=G$428,G$428,Tabell2[[#This Row],[Kvinneandel]]))</f>
        <v>0.1125195007800312</v>
      </c>
      <c r="Q224" s="32">
        <f>IF(Tabell2[[#This Row],[Eldreandel]]&lt;=H$427,H$427,IF(Tabell2[[#This Row],[Eldreandel]]&gt;=H$428,H$428,Tabell2[[#This Row],[Eldreandel]]))</f>
        <v>0.15483619344773791</v>
      </c>
      <c r="R224" s="32">
        <f>IF(Tabell2[[#This Row],[Sysselsettingsvekst10]]&lt;=I$427,I$427,IF(Tabell2[[#This Row],[Sysselsettingsvekst10]]&gt;=I$428,I$428,Tabell2[[#This Row],[Sysselsettingsvekst10]]))</f>
        <v>-5.9163987138263652E-2</v>
      </c>
      <c r="S224" s="32">
        <f>IF(Tabell2[[#This Row],[Yrkesaktivandel]]&lt;=J$427,J$427,IF(Tabell2[[#This Row],[Yrkesaktivandel]]&gt;=J$428,J$428,Tabell2[[#This Row],[Yrkesaktivandel]]))</f>
        <v>0.83134582623509368</v>
      </c>
      <c r="T224" s="67">
        <f>IF(Tabell2[[#This Row],[Inntekt]]&lt;=K$427,K$427,IF(Tabell2[[#This Row],[Inntekt]]&gt;=K$428,K$428,Tabell2[[#This Row],[Inntekt]]))</f>
        <v>402900</v>
      </c>
      <c r="U224" s="10">
        <f>IF(Tabell2[[#This Row],[NIBR11-T]]&lt;=L$430,100,IF(Tabell2[[#This Row],[NIBR11-T]]&gt;=L$429,0,100*(L$429-Tabell2[[#This Row],[NIBR11-T]])/L$432))</f>
        <v>100</v>
      </c>
      <c r="V224" s="10">
        <f>(M$429-Tabell2[[#This Row],[ReisetidOslo-T]])*100/M$432</f>
        <v>33.192976078680857</v>
      </c>
      <c r="W224" s="10">
        <f>100-(N$429-Tabell2[[#This Row],[Beftettotal-T]])*100/N$432</f>
        <v>33.367604537049971</v>
      </c>
      <c r="X224" s="10">
        <f>100-(O$429-Tabell2[[#This Row],[Befvekst10-T]])*100/O$432</f>
        <v>66.954571330934499</v>
      </c>
      <c r="Y224" s="10">
        <f>100-(P$429-Tabell2[[#This Row],[Kvinneandel-T]])*100/P$432</f>
        <v>59.700820151535609</v>
      </c>
      <c r="Z224" s="10">
        <f>(Q$429-Tabell2[[#This Row],[Eldreandel-T]])*100/Q$432</f>
        <v>73.55677062109379</v>
      </c>
      <c r="AA224" s="10">
        <f>100-(R$429-Tabell2[[#This Row],[Sysselsettingsvekst10-T]])*100/R$432</f>
        <v>16.665059695098037</v>
      </c>
      <c r="AB224" s="10">
        <f>100-(S$429-Tabell2[[#This Row],[Yrkesaktivandel-T]])*100/S$432</f>
        <v>26.605134394615376</v>
      </c>
      <c r="AC224" s="10">
        <f>100-(T$429-Tabell2[[#This Row],[Inntekt-T]])*100/T$432</f>
        <v>48.617127624125288</v>
      </c>
      <c r="AD22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55.898584037775336</v>
      </c>
    </row>
    <row r="225" spans="1:30" x14ac:dyDescent="0.25">
      <c r="A225" s="2" t="s">
        <v>219</v>
      </c>
      <c r="B225" s="2">
        <v>223</v>
      </c>
      <c r="C225">
        <f>'Rådata-K'!N224</f>
        <v>1</v>
      </c>
      <c r="D225" s="30">
        <f>'Rådata-K'!M224</f>
        <v>189.4375</v>
      </c>
      <c r="E225" s="32">
        <f>'Rådata-K'!O224</f>
        <v>33.118591970357272</v>
      </c>
      <c r="F225" s="32">
        <f>'Rådata-K'!P224</f>
        <v>0.15720170663528021</v>
      </c>
      <c r="G225" s="32">
        <f>'Rådata-K'!Q224</f>
        <v>0.11709363676816477</v>
      </c>
      <c r="H225" s="32">
        <f>'Rådata-K'!R224</f>
        <v>0.14557243659017227</v>
      </c>
      <c r="I225" s="32">
        <f>'Rådata-K'!S224</f>
        <v>0.12761331326308745</v>
      </c>
      <c r="J225" s="32">
        <f>'Rådata-K'!T224</f>
        <v>0.8606902836313931</v>
      </c>
      <c r="K225" s="67">
        <f>'Rådata-K'!L224</f>
        <v>437700</v>
      </c>
      <c r="L225" s="18">
        <f>Tabell2[[#This Row],[NIBR11]]</f>
        <v>1</v>
      </c>
      <c r="M225" s="32">
        <f>IF(Tabell2[[#This Row],[ReisetidOslo]]&lt;=D$427,D$427,IF(Tabell2[[#This Row],[ReisetidOslo]]&gt;=D$428,D$428,Tabell2[[#This Row],[ReisetidOslo]]))</f>
        <v>189.4375</v>
      </c>
      <c r="N225" s="32">
        <f>IF(Tabell2[[#This Row],[Beftettotal]]&lt;=E$427,E$427,IF(Tabell2[[#This Row],[Beftettotal]]&gt;=E$428,E$428,Tabell2[[#This Row],[Beftettotal]]))</f>
        <v>33.118591970357272</v>
      </c>
      <c r="O225" s="32">
        <f>IF(Tabell2[[#This Row],[Befvekst10]]&lt;=F$427,F$427,IF(Tabell2[[#This Row],[Befvekst10]]&gt;=F$428,F$428,Tabell2[[#This Row],[Befvekst10]]))</f>
        <v>0.15720170663528021</v>
      </c>
      <c r="P225" s="32">
        <f>IF(Tabell2[[#This Row],[Kvinneandel]]&lt;=G$427,G$427,IF(Tabell2[[#This Row],[Kvinneandel]]&gt;=G$428,G$428,Tabell2[[#This Row],[Kvinneandel]]))</f>
        <v>0.11709363676816477</v>
      </c>
      <c r="Q225" s="32">
        <f>IF(Tabell2[[#This Row],[Eldreandel]]&lt;=H$427,H$427,IF(Tabell2[[#This Row],[Eldreandel]]&gt;=H$428,H$428,Tabell2[[#This Row],[Eldreandel]]))</f>
        <v>0.14557243659017227</v>
      </c>
      <c r="R225" s="32">
        <f>IF(Tabell2[[#This Row],[Sysselsettingsvekst10]]&lt;=I$427,I$427,IF(Tabell2[[#This Row],[Sysselsettingsvekst10]]&gt;=I$428,I$428,Tabell2[[#This Row],[Sysselsettingsvekst10]]))</f>
        <v>0.12761331326308745</v>
      </c>
      <c r="S225" s="32">
        <f>IF(Tabell2[[#This Row],[Yrkesaktivandel]]&lt;=J$427,J$427,IF(Tabell2[[#This Row],[Yrkesaktivandel]]&gt;=J$428,J$428,Tabell2[[#This Row],[Yrkesaktivandel]]))</f>
        <v>0.8606902836313931</v>
      </c>
      <c r="T225" s="67">
        <f>IF(Tabell2[[#This Row],[Inntekt]]&lt;=K$427,K$427,IF(Tabell2[[#This Row],[Inntekt]]&gt;=K$428,K$428,Tabell2[[#This Row],[Inntekt]]))</f>
        <v>437700</v>
      </c>
      <c r="U225" s="10">
        <f>IF(Tabell2[[#This Row],[NIBR11-T]]&lt;=L$430,100,IF(Tabell2[[#This Row],[NIBR11-T]]&gt;=L$429,0,100*(L$429-Tabell2[[#This Row],[NIBR11-T]])/L$432))</f>
        <v>100</v>
      </c>
      <c r="V225" s="10">
        <f>(M$429-Tabell2[[#This Row],[ReisetidOslo-T]])*100/M$432</f>
        <v>41.917340684418335</v>
      </c>
      <c r="W225" s="10">
        <f>100-(N$429-Tabell2[[#This Row],[Beftettotal-T]])*100/N$432</f>
        <v>23.755244827678538</v>
      </c>
      <c r="X225" s="10">
        <f>100-(O$429-Tabell2[[#This Row],[Befvekst10-T]])*100/O$432</f>
        <v>91.20720668526252</v>
      </c>
      <c r="Y225" s="10">
        <f>100-(P$429-Tabell2[[#This Row],[Kvinneandel-T]])*100/P$432</f>
        <v>71.782500141365787</v>
      </c>
      <c r="Z225" s="10">
        <f>(Q$429-Tabell2[[#This Row],[Eldreandel-T]])*100/Q$432</f>
        <v>83.548772432183767</v>
      </c>
      <c r="AA225" s="10">
        <f>100-(R$429-Tabell2[[#This Row],[Sysselsettingsvekst10-T]])*100/R$432</f>
        <v>82.008002976956845</v>
      </c>
      <c r="AB225" s="10">
        <f>100-(S$429-Tabell2[[#This Row],[Yrkesaktivandel-T]])*100/S$432</f>
        <v>49.365982593907681</v>
      </c>
      <c r="AC225" s="10">
        <f>100-(T$429-Tabell2[[#This Row],[Inntekt-T]])*100/T$432</f>
        <v>87.270909696767745</v>
      </c>
      <c r="AD22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74.439753043702908</v>
      </c>
    </row>
    <row r="226" spans="1:30" x14ac:dyDescent="0.25">
      <c r="A226" s="2" t="s">
        <v>220</v>
      </c>
      <c r="B226" s="2">
        <v>224</v>
      </c>
      <c r="C226">
        <f>'Rådata-K'!N225</f>
        <v>1</v>
      </c>
      <c r="D226" s="30">
        <f>'Rådata-K'!M225</f>
        <v>223.28125</v>
      </c>
      <c r="E226" s="32">
        <f>'Rådata-K'!O225</f>
        <v>50.112945264986969</v>
      </c>
      <c r="F226" s="32">
        <f>'Rådata-K'!P225</f>
        <v>0.14444444444444438</v>
      </c>
      <c r="G226" s="32">
        <f>'Rådata-K'!Q225</f>
        <v>0.10610263522884882</v>
      </c>
      <c r="H226" s="32">
        <f>'Rådata-K'!R225</f>
        <v>0.1796116504854369</v>
      </c>
      <c r="I226" s="32">
        <f>'Rådata-K'!S225</f>
        <v>9.6212896622313249E-2</v>
      </c>
      <c r="J226" s="32">
        <f>'Rådata-K'!T225</f>
        <v>0.845859872611465</v>
      </c>
      <c r="K226" s="67">
        <f>'Rådata-K'!L225</f>
        <v>465900</v>
      </c>
      <c r="L226" s="18">
        <f>Tabell2[[#This Row],[NIBR11]]</f>
        <v>1</v>
      </c>
      <c r="M226" s="32">
        <f>IF(Tabell2[[#This Row],[ReisetidOslo]]&lt;=D$427,D$427,IF(Tabell2[[#This Row],[ReisetidOslo]]&gt;=D$428,D$428,Tabell2[[#This Row],[ReisetidOslo]]))</f>
        <v>223.28125</v>
      </c>
      <c r="N226" s="32">
        <f>IF(Tabell2[[#This Row],[Beftettotal]]&lt;=E$427,E$427,IF(Tabell2[[#This Row],[Beftettotal]]&gt;=E$428,E$428,Tabell2[[#This Row],[Beftettotal]]))</f>
        <v>50.112945264986969</v>
      </c>
      <c r="O226" s="32">
        <f>IF(Tabell2[[#This Row],[Befvekst10]]&lt;=F$427,F$427,IF(Tabell2[[#This Row],[Befvekst10]]&gt;=F$428,F$428,Tabell2[[#This Row],[Befvekst10]]))</f>
        <v>0.14444444444444438</v>
      </c>
      <c r="P226" s="32">
        <f>IF(Tabell2[[#This Row],[Kvinneandel]]&lt;=G$427,G$427,IF(Tabell2[[#This Row],[Kvinneandel]]&gt;=G$428,G$428,Tabell2[[#This Row],[Kvinneandel]]))</f>
        <v>0.10610263522884882</v>
      </c>
      <c r="Q226" s="32">
        <f>IF(Tabell2[[#This Row],[Eldreandel]]&lt;=H$427,H$427,IF(Tabell2[[#This Row],[Eldreandel]]&gt;=H$428,H$428,Tabell2[[#This Row],[Eldreandel]]))</f>
        <v>0.1796116504854369</v>
      </c>
      <c r="R226" s="32">
        <f>IF(Tabell2[[#This Row],[Sysselsettingsvekst10]]&lt;=I$427,I$427,IF(Tabell2[[#This Row],[Sysselsettingsvekst10]]&gt;=I$428,I$428,Tabell2[[#This Row],[Sysselsettingsvekst10]]))</f>
        <v>9.6212896622313249E-2</v>
      </c>
      <c r="S226" s="32">
        <f>IF(Tabell2[[#This Row],[Yrkesaktivandel]]&lt;=J$427,J$427,IF(Tabell2[[#This Row],[Yrkesaktivandel]]&gt;=J$428,J$428,Tabell2[[#This Row],[Yrkesaktivandel]]))</f>
        <v>0.845859872611465</v>
      </c>
      <c r="T226" s="67">
        <f>IF(Tabell2[[#This Row],[Inntekt]]&lt;=K$427,K$427,IF(Tabell2[[#This Row],[Inntekt]]&gt;=K$428,K$428,Tabell2[[#This Row],[Inntekt]]))</f>
        <v>449160</v>
      </c>
      <c r="U226" s="10">
        <f>IF(Tabell2[[#This Row],[NIBR11-T]]&lt;=L$430,100,IF(Tabell2[[#This Row],[NIBR11-T]]&gt;=L$429,0,100*(L$429-Tabell2[[#This Row],[NIBR11-T]])/L$432))</f>
        <v>100</v>
      </c>
      <c r="V226" s="10">
        <f>(M$429-Tabell2[[#This Row],[ReisetidOslo-T]])*100/M$432</f>
        <v>27.33634243131079</v>
      </c>
      <c r="W226" s="10">
        <f>100-(N$429-Tabell2[[#This Row],[Beftettotal-T]])*100/N$432</f>
        <v>36.421235946927204</v>
      </c>
      <c r="X226" s="10">
        <f>100-(O$429-Tabell2[[#This Row],[Befvekst10-T]])*100/O$432</f>
        <v>85.711699551240855</v>
      </c>
      <c r="Y226" s="10">
        <f>100-(P$429-Tabell2[[#This Row],[Kvinneandel-T]])*100/P$432</f>
        <v>42.751932683328796</v>
      </c>
      <c r="Z226" s="10">
        <f>(Q$429-Tabell2[[#This Row],[Eldreandel-T]])*100/Q$432</f>
        <v>46.833658670126212</v>
      </c>
      <c r="AA226" s="10">
        <f>100-(R$429-Tabell2[[#This Row],[Sysselsettingsvekst10-T]])*100/R$432</f>
        <v>71.022751347471342</v>
      </c>
      <c r="AB226" s="10">
        <f>100-(S$429-Tabell2[[#This Row],[Yrkesaktivandel-T]])*100/S$432</f>
        <v>37.862865347641495</v>
      </c>
      <c r="AC226" s="10">
        <f>100-(T$429-Tabell2[[#This Row],[Inntekt-T]])*100/T$432</f>
        <v>100</v>
      </c>
      <c r="AD22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68.885938985256018</v>
      </c>
    </row>
    <row r="227" spans="1:30" x14ac:dyDescent="0.25">
      <c r="A227" s="2" t="s">
        <v>221</v>
      </c>
      <c r="B227" s="2">
        <v>225</v>
      </c>
      <c r="C227">
        <f>'Rådata-K'!N226</f>
        <v>11</v>
      </c>
      <c r="D227" s="30">
        <f>'Rådata-K'!M226</f>
        <v>264.0625</v>
      </c>
      <c r="E227" s="32">
        <f>'Rådata-K'!O226</f>
        <v>63.254310344827587</v>
      </c>
      <c r="F227" s="32">
        <f>'Rådata-K'!P226</f>
        <v>-5.32258064516129E-2</v>
      </c>
      <c r="G227" s="32">
        <f>'Rådata-K'!Q226</f>
        <v>8.006814310051108E-2</v>
      </c>
      <c r="H227" s="32">
        <f>'Rådata-K'!R226</f>
        <v>0.20954003407155025</v>
      </c>
      <c r="I227" s="32">
        <f>'Rådata-K'!S226</f>
        <v>-0.19157088122605359</v>
      </c>
      <c r="J227" s="32">
        <f>'Rådata-K'!T226</f>
        <v>0.84053156146179397</v>
      </c>
      <c r="K227" s="67">
        <f>'Rådata-K'!L226</f>
        <v>405900</v>
      </c>
      <c r="L227" s="18">
        <f>Tabell2[[#This Row],[NIBR11]]</f>
        <v>11</v>
      </c>
      <c r="M227" s="32">
        <f>IF(Tabell2[[#This Row],[ReisetidOslo]]&lt;=D$427,D$427,IF(Tabell2[[#This Row],[ReisetidOslo]]&gt;=D$428,D$428,Tabell2[[#This Row],[ReisetidOslo]]))</f>
        <v>264.0625</v>
      </c>
      <c r="N227" s="32">
        <f>IF(Tabell2[[#This Row],[Beftettotal]]&lt;=E$427,E$427,IF(Tabell2[[#This Row],[Beftettotal]]&gt;=E$428,E$428,Tabell2[[#This Row],[Beftettotal]]))</f>
        <v>63.254310344827587</v>
      </c>
      <c r="O227" s="32">
        <f>IF(Tabell2[[#This Row],[Befvekst10]]&lt;=F$427,F$427,IF(Tabell2[[#This Row],[Befvekst10]]&gt;=F$428,F$428,Tabell2[[#This Row],[Befvekst10]]))</f>
        <v>-5.32258064516129E-2</v>
      </c>
      <c r="P227" s="32">
        <f>IF(Tabell2[[#This Row],[Kvinneandel]]&lt;=G$427,G$427,IF(Tabell2[[#This Row],[Kvinneandel]]&gt;=G$428,G$428,Tabell2[[#This Row],[Kvinneandel]]))</f>
        <v>8.9916711250255951E-2</v>
      </c>
      <c r="Q227" s="32">
        <f>IF(Tabell2[[#This Row],[Eldreandel]]&lt;=H$427,H$427,IF(Tabell2[[#This Row],[Eldreandel]]&gt;=H$428,H$428,Tabell2[[#This Row],[Eldreandel]]))</f>
        <v>0.20954003407155025</v>
      </c>
      <c r="R227" s="32">
        <f>IF(Tabell2[[#This Row],[Sysselsettingsvekst10]]&lt;=I$427,I$427,IF(Tabell2[[#This Row],[Sysselsettingsvekst10]]&gt;=I$428,I$428,Tabell2[[#This Row],[Sysselsettingsvekst10]]))</f>
        <v>-0.10679965679965678</v>
      </c>
      <c r="S227" s="32">
        <f>IF(Tabell2[[#This Row],[Yrkesaktivandel]]&lt;=J$427,J$427,IF(Tabell2[[#This Row],[Yrkesaktivandel]]&gt;=J$428,J$428,Tabell2[[#This Row],[Yrkesaktivandel]]))</f>
        <v>0.84053156146179397</v>
      </c>
      <c r="T227" s="67">
        <f>IF(Tabell2[[#This Row],[Inntekt]]&lt;=K$427,K$427,IF(Tabell2[[#This Row],[Inntekt]]&gt;=K$428,K$428,Tabell2[[#This Row],[Inntekt]]))</f>
        <v>405900</v>
      </c>
      <c r="U227" s="10">
        <f>IF(Tabell2[[#This Row],[NIBR11-T]]&lt;=L$430,100,IF(Tabell2[[#This Row],[NIBR11-T]]&gt;=L$429,0,100*(L$429-Tabell2[[#This Row],[NIBR11-T]])/L$432))</f>
        <v>0</v>
      </c>
      <c r="V227" s="10">
        <f>(M$429-Tabell2[[#This Row],[ReisetidOslo-T]])*100/M$432</f>
        <v>9.766441489200588</v>
      </c>
      <c r="W227" s="10">
        <f>100-(N$429-Tabell2[[#This Row],[Beftettotal-T]])*100/N$432</f>
        <v>46.215572366228585</v>
      </c>
      <c r="X227" s="10">
        <f>100-(O$429-Tabell2[[#This Row],[Befvekst10-T]])*100/O$432</f>
        <v>0.5603357450255686</v>
      </c>
      <c r="Y227" s="10">
        <f>100-(P$429-Tabell2[[#This Row],[Kvinneandel-T]])*100/P$432</f>
        <v>0</v>
      </c>
      <c r="Z227" s="10">
        <f>(Q$429-Tabell2[[#This Row],[Eldreandel-T]])*100/Q$432</f>
        <v>14.552536918618578</v>
      </c>
      <c r="AA227" s="10">
        <f>100-(R$429-Tabell2[[#This Row],[Sysselsettingsvekst10-T]])*100/R$432</f>
        <v>0</v>
      </c>
      <c r="AB227" s="10">
        <f>100-(S$429-Tabell2[[#This Row],[Yrkesaktivandel-T]])*100/S$432</f>
        <v>33.729993521170002</v>
      </c>
      <c r="AC227" s="10">
        <f>100-(T$429-Tabell2[[#This Row],[Inntekt-T]])*100/T$432</f>
        <v>51.949350216594468</v>
      </c>
      <c r="AD22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15.005829754255407</v>
      </c>
    </row>
    <row r="228" spans="1:30" x14ac:dyDescent="0.25">
      <c r="A228" s="2" t="s">
        <v>222</v>
      </c>
      <c r="B228" s="2">
        <v>226</v>
      </c>
      <c r="C228">
        <f>'Rådata-K'!N227</f>
        <v>5</v>
      </c>
      <c r="D228" s="30">
        <f>'Rådata-K'!M227</f>
        <v>230.96875</v>
      </c>
      <c r="E228" s="32">
        <f>'Rådata-K'!O227</f>
        <v>3.0751524088693865</v>
      </c>
      <c r="F228" s="32">
        <f>'Rådata-K'!P227</f>
        <v>4.8436541998773786E-2</v>
      </c>
      <c r="G228" s="32">
        <f>'Rådata-K'!Q227</f>
        <v>9.7660818713450295E-2</v>
      </c>
      <c r="H228" s="32">
        <f>'Rådata-K'!R227</f>
        <v>0.2046783625730994</v>
      </c>
      <c r="I228" s="32">
        <f>'Rådata-K'!S227</f>
        <v>6.9642857142857117E-2</v>
      </c>
      <c r="J228" s="32">
        <f>'Rådata-K'!T227</f>
        <v>0.9443207126948775</v>
      </c>
      <c r="K228" s="67">
        <f>'Rådata-K'!L227</f>
        <v>426300</v>
      </c>
      <c r="L228" s="18">
        <f>Tabell2[[#This Row],[NIBR11]]</f>
        <v>5</v>
      </c>
      <c r="M228" s="32">
        <f>IF(Tabell2[[#This Row],[ReisetidOslo]]&lt;=D$427,D$427,IF(Tabell2[[#This Row],[ReisetidOslo]]&gt;=D$428,D$428,Tabell2[[#This Row],[ReisetidOslo]]))</f>
        <v>230.96875</v>
      </c>
      <c r="N228" s="32">
        <f>IF(Tabell2[[#This Row],[Beftettotal]]&lt;=E$427,E$427,IF(Tabell2[[#This Row],[Beftettotal]]&gt;=E$428,E$428,Tabell2[[#This Row],[Beftettotal]]))</f>
        <v>3.0751524088693865</v>
      </c>
      <c r="O228" s="32">
        <f>IF(Tabell2[[#This Row],[Befvekst10]]&lt;=F$427,F$427,IF(Tabell2[[#This Row],[Befvekst10]]&gt;=F$428,F$428,Tabell2[[#This Row],[Befvekst10]]))</f>
        <v>4.8436541998773786E-2</v>
      </c>
      <c r="P228" s="32">
        <f>IF(Tabell2[[#This Row],[Kvinneandel]]&lt;=G$427,G$427,IF(Tabell2[[#This Row],[Kvinneandel]]&gt;=G$428,G$428,Tabell2[[#This Row],[Kvinneandel]]))</f>
        <v>9.7660818713450295E-2</v>
      </c>
      <c r="Q228" s="32">
        <f>IF(Tabell2[[#This Row],[Eldreandel]]&lt;=H$427,H$427,IF(Tabell2[[#This Row],[Eldreandel]]&gt;=H$428,H$428,Tabell2[[#This Row],[Eldreandel]]))</f>
        <v>0.2046783625730994</v>
      </c>
      <c r="R228" s="32">
        <f>IF(Tabell2[[#This Row],[Sysselsettingsvekst10]]&lt;=I$427,I$427,IF(Tabell2[[#This Row],[Sysselsettingsvekst10]]&gt;=I$428,I$428,Tabell2[[#This Row],[Sysselsettingsvekst10]]))</f>
        <v>6.9642857142857117E-2</v>
      </c>
      <c r="S228" s="32">
        <f>IF(Tabell2[[#This Row],[Yrkesaktivandel]]&lt;=J$427,J$427,IF(Tabell2[[#This Row],[Yrkesaktivandel]]&gt;=J$428,J$428,Tabell2[[#This Row],[Yrkesaktivandel]]))</f>
        <v>0.92597026588718434</v>
      </c>
      <c r="T228" s="67">
        <f>IF(Tabell2[[#This Row],[Inntekt]]&lt;=K$427,K$427,IF(Tabell2[[#This Row],[Inntekt]]&gt;=K$428,K$428,Tabell2[[#This Row],[Inntekt]]))</f>
        <v>426300</v>
      </c>
      <c r="U228" s="10">
        <f>IF(Tabell2[[#This Row],[NIBR11-T]]&lt;=L$430,100,IF(Tabell2[[#This Row],[NIBR11-T]]&gt;=L$429,0,100*(L$429-Tabell2[[#This Row],[NIBR11-T]])/L$432))</f>
        <v>60</v>
      </c>
      <c r="V228" s="10">
        <f>(M$429-Tabell2[[#This Row],[ReisetidOslo-T]])*100/M$432</f>
        <v>24.024315127280822</v>
      </c>
      <c r="W228" s="10">
        <f>100-(N$429-Tabell2[[#This Row],[Beftettotal-T]])*100/N$432</f>
        <v>1.3636932293167945</v>
      </c>
      <c r="X228" s="10">
        <f>100-(O$429-Tabell2[[#This Row],[Befvekst10-T]])*100/O$432</f>
        <v>44.353914085982531</v>
      </c>
      <c r="Y228" s="10">
        <f>100-(P$429-Tabell2[[#This Row],[Kvinneandel-T]])*100/P$432</f>
        <v>20.45453576804276</v>
      </c>
      <c r="Z228" s="10">
        <f>(Q$429-Tabell2[[#This Row],[Eldreandel-T]])*100/Q$432</f>
        <v>19.796395448624388</v>
      </c>
      <c r="AA228" s="10">
        <f>100-(R$429-Tabell2[[#This Row],[Sysselsettingsvekst10-T]])*100/R$432</f>
        <v>61.727378842503441</v>
      </c>
      <c r="AB228" s="10">
        <f>100-(S$429-Tabell2[[#This Row],[Yrkesaktivandel-T]])*100/S$432</f>
        <v>100</v>
      </c>
      <c r="AC228" s="10">
        <f>100-(T$429-Tabell2[[#This Row],[Inntekt-T]])*100/T$432</f>
        <v>74.608463845384875</v>
      </c>
      <c r="AD22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49.055714482478464</v>
      </c>
    </row>
    <row r="229" spans="1:30" x14ac:dyDescent="0.25">
      <c r="A229" s="2" t="s">
        <v>223</v>
      </c>
      <c r="B229" s="2">
        <v>227</v>
      </c>
      <c r="C229">
        <f>'Rådata-K'!N228</f>
        <v>7</v>
      </c>
      <c r="D229" s="30">
        <f>'Rådata-K'!M228</f>
        <v>167.8125</v>
      </c>
      <c r="E229" s="32">
        <f>'Rådata-K'!O228</f>
        <v>17.306333203525018</v>
      </c>
      <c r="F229" s="32">
        <f>'Rådata-K'!P228</f>
        <v>5.8019574993386724E-2</v>
      </c>
      <c r="G229" s="32">
        <f>'Rådata-K'!Q228</f>
        <v>0.11817651470955913</v>
      </c>
      <c r="H229" s="32">
        <f>'Rådata-K'!R228</f>
        <v>0.13567797316443037</v>
      </c>
      <c r="I229" s="32">
        <f>'Rådata-K'!S228</f>
        <v>4.041916167664672E-2</v>
      </c>
      <c r="J229" s="32">
        <f>'Rådata-K'!T228</f>
        <v>0.86084466714387975</v>
      </c>
      <c r="K229" s="67">
        <f>'Rådata-K'!L228</f>
        <v>439700</v>
      </c>
      <c r="L229" s="18">
        <f>Tabell2[[#This Row],[NIBR11]]</f>
        <v>7</v>
      </c>
      <c r="M229" s="32">
        <f>IF(Tabell2[[#This Row],[ReisetidOslo]]&lt;=D$427,D$427,IF(Tabell2[[#This Row],[ReisetidOslo]]&gt;=D$428,D$428,Tabell2[[#This Row],[ReisetidOslo]]))</f>
        <v>167.8125</v>
      </c>
      <c r="N229" s="32">
        <f>IF(Tabell2[[#This Row],[Beftettotal]]&lt;=E$427,E$427,IF(Tabell2[[#This Row],[Beftettotal]]&gt;=E$428,E$428,Tabell2[[#This Row],[Beftettotal]]))</f>
        <v>17.306333203525018</v>
      </c>
      <c r="O229" s="32">
        <f>IF(Tabell2[[#This Row],[Befvekst10]]&lt;=F$427,F$427,IF(Tabell2[[#This Row],[Befvekst10]]&gt;=F$428,F$428,Tabell2[[#This Row],[Befvekst10]]))</f>
        <v>5.8019574993386724E-2</v>
      </c>
      <c r="P229" s="32">
        <f>IF(Tabell2[[#This Row],[Kvinneandel]]&lt;=G$427,G$427,IF(Tabell2[[#This Row],[Kvinneandel]]&gt;=G$428,G$428,Tabell2[[#This Row],[Kvinneandel]]))</f>
        <v>0.11817651470955913</v>
      </c>
      <c r="Q229" s="32">
        <f>IF(Tabell2[[#This Row],[Eldreandel]]&lt;=H$427,H$427,IF(Tabell2[[#This Row],[Eldreandel]]&gt;=H$428,H$428,Tabell2[[#This Row],[Eldreandel]]))</f>
        <v>0.13567797316443037</v>
      </c>
      <c r="R229" s="32">
        <f>IF(Tabell2[[#This Row],[Sysselsettingsvekst10]]&lt;=I$427,I$427,IF(Tabell2[[#This Row],[Sysselsettingsvekst10]]&gt;=I$428,I$428,Tabell2[[#This Row],[Sysselsettingsvekst10]]))</f>
        <v>4.041916167664672E-2</v>
      </c>
      <c r="S229" s="32">
        <f>IF(Tabell2[[#This Row],[Yrkesaktivandel]]&lt;=J$427,J$427,IF(Tabell2[[#This Row],[Yrkesaktivandel]]&gt;=J$428,J$428,Tabell2[[#This Row],[Yrkesaktivandel]]))</f>
        <v>0.86084466714387975</v>
      </c>
      <c r="T229" s="67">
        <f>IF(Tabell2[[#This Row],[Inntekt]]&lt;=K$427,K$427,IF(Tabell2[[#This Row],[Inntekt]]&gt;=K$428,K$428,Tabell2[[#This Row],[Inntekt]]))</f>
        <v>439700</v>
      </c>
      <c r="U229" s="10">
        <f>IF(Tabell2[[#This Row],[NIBR11-T]]&lt;=L$430,100,IF(Tabell2[[#This Row],[NIBR11-T]]&gt;=L$429,0,100*(L$429-Tabell2[[#This Row],[NIBR11-T]])/L$432))</f>
        <v>40</v>
      </c>
      <c r="V229" s="10">
        <f>(M$429-Tabell2[[#This Row],[ReisetidOslo-T]])*100/M$432</f>
        <v>51.234100417705889</v>
      </c>
      <c r="W229" s="10">
        <f>100-(N$429-Tabell2[[#This Row],[Beftettotal-T]])*100/N$432</f>
        <v>11.97027568859113</v>
      </c>
      <c r="X229" s="10">
        <f>100-(O$429-Tabell2[[#This Row],[Befvekst10-T]])*100/O$432</f>
        <v>48.482043256620045</v>
      </c>
      <c r="Y229" s="10">
        <f>100-(P$429-Tabell2[[#This Row],[Kvinneandel-T]])*100/P$432</f>
        <v>74.642709105400357</v>
      </c>
      <c r="Z229" s="10">
        <f>(Q$429-Tabell2[[#This Row],[Eldreandel-T]])*100/Q$432</f>
        <v>94.221062086357279</v>
      </c>
      <c r="AA229" s="10">
        <f>100-(R$429-Tabell2[[#This Row],[Sysselsettingsvekst10-T]])*100/R$432</f>
        <v>51.503640351629059</v>
      </c>
      <c r="AB229" s="10">
        <f>100-(S$429-Tabell2[[#This Row],[Yrkesaktivandel-T]])*100/S$432</f>
        <v>49.485729217425934</v>
      </c>
      <c r="AC229" s="10">
        <f>100-(T$429-Tabell2[[#This Row],[Inntekt-T]])*100/T$432</f>
        <v>89.492391425080527</v>
      </c>
      <c r="AD22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51.508210920955158</v>
      </c>
    </row>
    <row r="230" spans="1:30" x14ac:dyDescent="0.25">
      <c r="A230" s="2" t="s">
        <v>224</v>
      </c>
      <c r="B230" s="2">
        <v>228</v>
      </c>
      <c r="C230">
        <f>'Rådata-K'!N229</f>
        <v>11</v>
      </c>
      <c r="D230" s="30">
        <f>'Rådata-K'!M229</f>
        <v>267.25</v>
      </c>
      <c r="E230" s="32">
        <f>'Rådata-K'!O229</f>
        <v>3.9701277607541732</v>
      </c>
      <c r="F230" s="32">
        <f>'Rådata-K'!P229</f>
        <v>-1.4546965918536992E-2</v>
      </c>
      <c r="G230" s="32">
        <f>'Rådata-K'!Q229</f>
        <v>0.10965837199493884</v>
      </c>
      <c r="H230" s="32">
        <f>'Rådata-K'!R229</f>
        <v>0.19949388443694643</v>
      </c>
      <c r="I230" s="32">
        <f>'Rådata-K'!S229</f>
        <v>0.10265486725663719</v>
      </c>
      <c r="J230" s="32">
        <f>'Rådata-K'!T229</f>
        <v>0.94891640866873062</v>
      </c>
      <c r="K230" s="67">
        <f>'Rådata-K'!L229</f>
        <v>426300</v>
      </c>
      <c r="L230" s="18">
        <f>Tabell2[[#This Row],[NIBR11]]</f>
        <v>11</v>
      </c>
      <c r="M230" s="32">
        <f>IF(Tabell2[[#This Row],[ReisetidOslo]]&lt;=D$427,D$427,IF(Tabell2[[#This Row],[ReisetidOslo]]&gt;=D$428,D$428,Tabell2[[#This Row],[ReisetidOslo]]))</f>
        <v>267.25</v>
      </c>
      <c r="N230" s="32">
        <f>IF(Tabell2[[#This Row],[Beftettotal]]&lt;=E$427,E$427,IF(Tabell2[[#This Row],[Beftettotal]]&gt;=E$428,E$428,Tabell2[[#This Row],[Beftettotal]]))</f>
        <v>3.9701277607541732</v>
      </c>
      <c r="O230" s="32">
        <f>IF(Tabell2[[#This Row],[Befvekst10]]&lt;=F$427,F$427,IF(Tabell2[[#This Row],[Befvekst10]]&gt;=F$428,F$428,Tabell2[[#This Row],[Befvekst10]]))</f>
        <v>-1.4546965918536992E-2</v>
      </c>
      <c r="P230" s="32">
        <f>IF(Tabell2[[#This Row],[Kvinneandel]]&lt;=G$427,G$427,IF(Tabell2[[#This Row],[Kvinneandel]]&gt;=G$428,G$428,Tabell2[[#This Row],[Kvinneandel]]))</f>
        <v>0.10965837199493884</v>
      </c>
      <c r="Q230" s="32">
        <f>IF(Tabell2[[#This Row],[Eldreandel]]&lt;=H$427,H$427,IF(Tabell2[[#This Row],[Eldreandel]]&gt;=H$428,H$428,Tabell2[[#This Row],[Eldreandel]]))</f>
        <v>0.19949388443694643</v>
      </c>
      <c r="R230" s="32">
        <f>IF(Tabell2[[#This Row],[Sysselsettingsvekst10]]&lt;=I$427,I$427,IF(Tabell2[[#This Row],[Sysselsettingsvekst10]]&gt;=I$428,I$428,Tabell2[[#This Row],[Sysselsettingsvekst10]]))</f>
        <v>0.10265486725663719</v>
      </c>
      <c r="S230" s="32">
        <f>IF(Tabell2[[#This Row],[Yrkesaktivandel]]&lt;=J$427,J$427,IF(Tabell2[[#This Row],[Yrkesaktivandel]]&gt;=J$428,J$428,Tabell2[[#This Row],[Yrkesaktivandel]]))</f>
        <v>0.92597026588718434</v>
      </c>
      <c r="T230" s="67">
        <f>IF(Tabell2[[#This Row],[Inntekt]]&lt;=K$427,K$427,IF(Tabell2[[#This Row],[Inntekt]]&gt;=K$428,K$428,Tabell2[[#This Row],[Inntekt]]))</f>
        <v>426300</v>
      </c>
      <c r="U230" s="10">
        <f>IF(Tabell2[[#This Row],[NIBR11-T]]&lt;=L$430,100,IF(Tabell2[[#This Row],[NIBR11-T]]&gt;=L$429,0,100*(L$429-Tabell2[[#This Row],[NIBR11-T]])/L$432))</f>
        <v>0</v>
      </c>
      <c r="V230" s="10">
        <f>(M$429-Tabell2[[#This Row],[ReisetidOslo-T]])*100/M$432</f>
        <v>8.3931618753345028</v>
      </c>
      <c r="W230" s="10">
        <f>100-(N$429-Tabell2[[#This Row],[Beftettotal-T]])*100/N$432</f>
        <v>2.030723604782807</v>
      </c>
      <c r="X230" s="10">
        <f>100-(O$429-Tabell2[[#This Row],[Befvekst10-T]])*100/O$432</f>
        <v>17.222205737624563</v>
      </c>
      <c r="Y230" s="10">
        <f>100-(P$429-Tabell2[[#This Row],[Kvinneandel-T]])*100/P$432</f>
        <v>52.143711556414395</v>
      </c>
      <c r="Z230" s="10">
        <f>(Q$429-Tabell2[[#This Row],[Eldreandel-T]])*100/Q$432</f>
        <v>25.388437178831232</v>
      </c>
      <c r="AA230" s="10">
        <f>100-(R$429-Tabell2[[#This Row],[Sysselsettingsvekst10-T]])*100/R$432</f>
        <v>73.276436998123273</v>
      </c>
      <c r="AB230" s="10">
        <f>100-(S$429-Tabell2[[#This Row],[Yrkesaktivandel-T]])*100/S$432</f>
        <v>100</v>
      </c>
      <c r="AC230" s="10">
        <f>100-(T$429-Tabell2[[#This Row],[Inntekt-T]])*100/T$432</f>
        <v>74.608463845384875</v>
      </c>
      <c r="AD23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33.151927216649739</v>
      </c>
    </row>
    <row r="231" spans="1:30" x14ac:dyDescent="0.25">
      <c r="A231" s="2" t="s">
        <v>225</v>
      </c>
      <c r="B231" s="2">
        <v>229</v>
      </c>
      <c r="C231">
        <f>'Rådata-K'!N230</f>
        <v>11</v>
      </c>
      <c r="D231" s="30">
        <f>'Rådata-K'!M230</f>
        <v>319.1875</v>
      </c>
      <c r="E231" s="32">
        <f>'Rådata-K'!O230</f>
        <v>3.4786418400876231</v>
      </c>
      <c r="F231" s="32">
        <f>'Rådata-K'!P230</f>
        <v>-8.8404133180252531E-2</v>
      </c>
      <c r="G231" s="32">
        <f>'Rådata-K'!Q230</f>
        <v>8.6901763224181361E-2</v>
      </c>
      <c r="H231" s="32">
        <f>'Rådata-K'!R230</f>
        <v>0.21914357682619648</v>
      </c>
      <c r="I231" s="32">
        <f>'Rådata-K'!S230</f>
        <v>-0.11764705882352944</v>
      </c>
      <c r="J231" s="32">
        <f>'Rådata-K'!T230</f>
        <v>0.90137614678899081</v>
      </c>
      <c r="K231" s="67">
        <f>'Rådata-K'!L230</f>
        <v>403800</v>
      </c>
      <c r="L231" s="18">
        <f>Tabell2[[#This Row],[NIBR11]]</f>
        <v>11</v>
      </c>
      <c r="M231" s="32">
        <f>IF(Tabell2[[#This Row],[ReisetidOslo]]&lt;=D$427,D$427,IF(Tabell2[[#This Row],[ReisetidOslo]]&gt;=D$428,D$428,Tabell2[[#This Row],[ReisetidOslo]]))</f>
        <v>286.73125000000005</v>
      </c>
      <c r="N231" s="32">
        <f>IF(Tabell2[[#This Row],[Beftettotal]]&lt;=E$427,E$427,IF(Tabell2[[#This Row],[Beftettotal]]&gt;=E$428,E$428,Tabell2[[#This Row],[Beftettotal]]))</f>
        <v>3.4786418400876231</v>
      </c>
      <c r="O231" s="32">
        <f>IF(Tabell2[[#This Row],[Befvekst10]]&lt;=F$427,F$427,IF(Tabell2[[#This Row],[Befvekst10]]&gt;=F$428,F$428,Tabell2[[#This Row],[Befvekst10]]))</f>
        <v>-5.4526569027269343E-2</v>
      </c>
      <c r="P231" s="32">
        <f>IF(Tabell2[[#This Row],[Kvinneandel]]&lt;=G$427,G$427,IF(Tabell2[[#This Row],[Kvinneandel]]&gt;=G$428,G$428,Tabell2[[#This Row],[Kvinneandel]]))</f>
        <v>8.9916711250255951E-2</v>
      </c>
      <c r="Q231" s="32">
        <f>IF(Tabell2[[#This Row],[Eldreandel]]&lt;=H$427,H$427,IF(Tabell2[[#This Row],[Eldreandel]]&gt;=H$428,H$428,Tabell2[[#This Row],[Eldreandel]]))</f>
        <v>0.21914357682619648</v>
      </c>
      <c r="R231" s="32">
        <f>IF(Tabell2[[#This Row],[Sysselsettingsvekst10]]&lt;=I$427,I$427,IF(Tabell2[[#This Row],[Sysselsettingsvekst10]]&gt;=I$428,I$428,Tabell2[[#This Row],[Sysselsettingsvekst10]]))</f>
        <v>-0.10679965679965678</v>
      </c>
      <c r="S231" s="32">
        <f>IF(Tabell2[[#This Row],[Yrkesaktivandel]]&lt;=J$427,J$427,IF(Tabell2[[#This Row],[Yrkesaktivandel]]&gt;=J$428,J$428,Tabell2[[#This Row],[Yrkesaktivandel]]))</f>
        <v>0.90137614678899081</v>
      </c>
      <c r="T231" s="67">
        <f>IF(Tabell2[[#This Row],[Inntekt]]&lt;=K$427,K$427,IF(Tabell2[[#This Row],[Inntekt]]&gt;=K$428,K$428,Tabell2[[#This Row],[Inntekt]]))</f>
        <v>403800</v>
      </c>
      <c r="U231" s="10">
        <f>IF(Tabell2[[#This Row],[NIBR11-T]]&lt;=L$430,100,IF(Tabell2[[#This Row],[NIBR11-T]]&gt;=L$429,0,100*(L$429-Tabell2[[#This Row],[NIBR11-T]])/L$432))</f>
        <v>0</v>
      </c>
      <c r="V231" s="10">
        <f>(M$429-Tabell2[[#This Row],[ReisetidOslo-T]])*100/M$432</f>
        <v>0</v>
      </c>
      <c r="W231" s="10">
        <f>100-(N$429-Tabell2[[#This Row],[Beftettotal-T]])*100/N$432</f>
        <v>1.6644162673705978</v>
      </c>
      <c r="X231" s="10">
        <f>100-(O$429-Tabell2[[#This Row],[Befvekst10-T]])*100/O$432</f>
        <v>0</v>
      </c>
      <c r="Y231" s="10">
        <f>100-(P$429-Tabell2[[#This Row],[Kvinneandel-T]])*100/P$432</f>
        <v>0</v>
      </c>
      <c r="Z231" s="10">
        <f>(Q$429-Tabell2[[#This Row],[Eldreandel-T]])*100/Q$432</f>
        <v>4.1940378698296987</v>
      </c>
      <c r="AA231" s="10">
        <f>100-(R$429-Tabell2[[#This Row],[Sysselsettingsvekst10-T]])*100/R$432</f>
        <v>0</v>
      </c>
      <c r="AB231" s="10">
        <f>100-(S$429-Tabell2[[#This Row],[Yrkesaktivandel-T]])*100/S$432</f>
        <v>80.923722533718006</v>
      </c>
      <c r="AC231" s="10">
        <f>100-(T$429-Tabell2[[#This Row],[Inntekt-T]])*100/T$432</f>
        <v>49.616794401866045</v>
      </c>
      <c r="AD23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13.430195213786952</v>
      </c>
    </row>
    <row r="232" spans="1:30" x14ac:dyDescent="0.25">
      <c r="A232" s="2" t="s">
        <v>226</v>
      </c>
      <c r="B232" s="2">
        <v>230</v>
      </c>
      <c r="C232">
        <f>'Rådata-K'!N231</f>
        <v>11</v>
      </c>
      <c r="D232" s="30">
        <f>'Rådata-K'!M231</f>
        <v>214.09375</v>
      </c>
      <c r="E232" s="32">
        <f>'Rådata-K'!O231</f>
        <v>5.5540535321154065</v>
      </c>
      <c r="F232" s="32">
        <f>'Rådata-K'!P231</f>
        <v>-3.6193029490616646E-2</v>
      </c>
      <c r="G232" s="32">
        <f>'Rådata-K'!Q231</f>
        <v>8.2753824756606392E-2</v>
      </c>
      <c r="H232" s="32">
        <f>'Rådata-K'!R231</f>
        <v>0.2239221140472879</v>
      </c>
      <c r="I232" s="32">
        <f>'Rådata-K'!S231</f>
        <v>-1.1299435028248594E-2</v>
      </c>
      <c r="J232" s="32">
        <f>'Rådata-K'!T231</f>
        <v>0.93741677762982689</v>
      </c>
      <c r="K232" s="67">
        <f>'Rådata-K'!L231</f>
        <v>386300</v>
      </c>
      <c r="L232" s="18">
        <f>Tabell2[[#This Row],[NIBR11]]</f>
        <v>11</v>
      </c>
      <c r="M232" s="32">
        <f>IF(Tabell2[[#This Row],[ReisetidOslo]]&lt;=D$427,D$427,IF(Tabell2[[#This Row],[ReisetidOslo]]&gt;=D$428,D$428,Tabell2[[#This Row],[ReisetidOslo]]))</f>
        <v>214.09375</v>
      </c>
      <c r="N232" s="32">
        <f>IF(Tabell2[[#This Row],[Beftettotal]]&lt;=E$427,E$427,IF(Tabell2[[#This Row],[Beftettotal]]&gt;=E$428,E$428,Tabell2[[#This Row],[Beftettotal]]))</f>
        <v>5.5540535321154065</v>
      </c>
      <c r="O232" s="32">
        <f>IF(Tabell2[[#This Row],[Befvekst10]]&lt;=F$427,F$427,IF(Tabell2[[#This Row],[Befvekst10]]&gt;=F$428,F$428,Tabell2[[#This Row],[Befvekst10]]))</f>
        <v>-3.6193029490616646E-2</v>
      </c>
      <c r="P232" s="32">
        <f>IF(Tabell2[[#This Row],[Kvinneandel]]&lt;=G$427,G$427,IF(Tabell2[[#This Row],[Kvinneandel]]&gt;=G$428,G$428,Tabell2[[#This Row],[Kvinneandel]]))</f>
        <v>8.9916711250255951E-2</v>
      </c>
      <c r="Q232" s="32">
        <f>IF(Tabell2[[#This Row],[Eldreandel]]&lt;=H$427,H$427,IF(Tabell2[[#This Row],[Eldreandel]]&gt;=H$428,H$428,Tabell2[[#This Row],[Eldreandel]]))</f>
        <v>0.22303194152148736</v>
      </c>
      <c r="R232" s="32">
        <f>IF(Tabell2[[#This Row],[Sysselsettingsvekst10]]&lt;=I$427,I$427,IF(Tabell2[[#This Row],[Sysselsettingsvekst10]]&gt;=I$428,I$428,Tabell2[[#This Row],[Sysselsettingsvekst10]]))</f>
        <v>-1.1299435028248594E-2</v>
      </c>
      <c r="S232" s="32">
        <f>IF(Tabell2[[#This Row],[Yrkesaktivandel]]&lt;=J$427,J$427,IF(Tabell2[[#This Row],[Yrkesaktivandel]]&gt;=J$428,J$428,Tabell2[[#This Row],[Yrkesaktivandel]]))</f>
        <v>0.92597026588718434</v>
      </c>
      <c r="T232" s="67">
        <f>IF(Tabell2[[#This Row],[Inntekt]]&lt;=K$427,K$427,IF(Tabell2[[#This Row],[Inntekt]]&gt;=K$428,K$428,Tabell2[[#This Row],[Inntekt]]))</f>
        <v>386300</v>
      </c>
      <c r="U232" s="10">
        <f>IF(Tabell2[[#This Row],[NIBR11-T]]&lt;=L$430,100,IF(Tabell2[[#This Row],[NIBR11-T]]&gt;=L$429,0,100*(L$429-Tabell2[[#This Row],[NIBR11-T]])/L$432))</f>
        <v>0</v>
      </c>
      <c r="V232" s="10">
        <f>(M$429-Tabell2[[#This Row],[ReisetidOslo-T]])*100/M$432</f>
        <v>31.294618965395387</v>
      </c>
      <c r="W232" s="10">
        <f>100-(N$429-Tabell2[[#This Row],[Beftettotal-T]])*100/N$432</f>
        <v>3.2112327660199185</v>
      </c>
      <c r="X232" s="10">
        <f>100-(O$429-Tabell2[[#This Row],[Befvekst10-T]])*100/O$432</f>
        <v>7.8976269209171335</v>
      </c>
      <c r="Y232" s="10">
        <f>100-(P$429-Tabell2[[#This Row],[Kvinneandel-T]])*100/P$432</f>
        <v>0</v>
      </c>
      <c r="Z232" s="10">
        <f>(Q$429-Tabell2[[#This Row],[Eldreandel-T]])*100/Q$432</f>
        <v>0</v>
      </c>
      <c r="AA232" s="10">
        <f>100-(R$429-Tabell2[[#This Row],[Sysselsettingsvekst10-T]])*100/R$432</f>
        <v>33.410192572677971</v>
      </c>
      <c r="AB232" s="10">
        <f>100-(S$429-Tabell2[[#This Row],[Yrkesaktivandel-T]])*100/S$432</f>
        <v>100</v>
      </c>
      <c r="AC232" s="10">
        <f>100-(T$429-Tabell2[[#This Row],[Inntekt-T]])*100/T$432</f>
        <v>30.178829279129175</v>
      </c>
      <c r="AD23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21.389012742505674</v>
      </c>
    </row>
    <row r="233" spans="1:30" x14ac:dyDescent="0.25">
      <c r="A233" s="2" t="s">
        <v>227</v>
      </c>
      <c r="B233" s="2">
        <v>231</v>
      </c>
      <c r="C233">
        <f>'Rådata-K'!N232</f>
        <v>9</v>
      </c>
      <c r="D233" s="30">
        <f>'Rådata-K'!M232</f>
        <v>200.28125</v>
      </c>
      <c r="E233" s="32">
        <f>'Rådata-K'!O232</f>
        <v>4.6163168622266291</v>
      </c>
      <c r="F233" s="32">
        <f>'Rådata-K'!P232</f>
        <v>-5.2036199095022662E-2</v>
      </c>
      <c r="G233" s="32">
        <f>'Rådata-K'!Q232</f>
        <v>9.8090692124105011E-2</v>
      </c>
      <c r="H233" s="32">
        <f>'Rådata-K'!R232</f>
        <v>0.18424821002386635</v>
      </c>
      <c r="I233" s="32">
        <f>'Rådata-K'!S232</f>
        <v>-0.21528424976700844</v>
      </c>
      <c r="J233" s="32">
        <f>'Rådata-K'!T232</f>
        <v>0.83176369863013699</v>
      </c>
      <c r="K233" s="67">
        <f>'Rådata-K'!L232</f>
        <v>388000</v>
      </c>
      <c r="L233" s="18">
        <f>Tabell2[[#This Row],[NIBR11]]</f>
        <v>9</v>
      </c>
      <c r="M233" s="32">
        <f>IF(Tabell2[[#This Row],[ReisetidOslo]]&lt;=D$427,D$427,IF(Tabell2[[#This Row],[ReisetidOslo]]&gt;=D$428,D$428,Tabell2[[#This Row],[ReisetidOslo]]))</f>
        <v>200.28125</v>
      </c>
      <c r="N233" s="32">
        <f>IF(Tabell2[[#This Row],[Beftettotal]]&lt;=E$427,E$427,IF(Tabell2[[#This Row],[Beftettotal]]&gt;=E$428,E$428,Tabell2[[#This Row],[Beftettotal]]))</f>
        <v>4.6163168622266291</v>
      </c>
      <c r="O233" s="32">
        <f>IF(Tabell2[[#This Row],[Befvekst10]]&lt;=F$427,F$427,IF(Tabell2[[#This Row],[Befvekst10]]&gt;=F$428,F$428,Tabell2[[#This Row],[Befvekst10]]))</f>
        <v>-5.2036199095022662E-2</v>
      </c>
      <c r="P233" s="32">
        <f>IF(Tabell2[[#This Row],[Kvinneandel]]&lt;=G$427,G$427,IF(Tabell2[[#This Row],[Kvinneandel]]&gt;=G$428,G$428,Tabell2[[#This Row],[Kvinneandel]]))</f>
        <v>9.8090692124105011E-2</v>
      </c>
      <c r="Q233" s="32">
        <f>IF(Tabell2[[#This Row],[Eldreandel]]&lt;=H$427,H$427,IF(Tabell2[[#This Row],[Eldreandel]]&gt;=H$428,H$428,Tabell2[[#This Row],[Eldreandel]]))</f>
        <v>0.18424821002386635</v>
      </c>
      <c r="R233" s="32">
        <f>IF(Tabell2[[#This Row],[Sysselsettingsvekst10]]&lt;=I$427,I$427,IF(Tabell2[[#This Row],[Sysselsettingsvekst10]]&gt;=I$428,I$428,Tabell2[[#This Row],[Sysselsettingsvekst10]]))</f>
        <v>-0.10679965679965678</v>
      </c>
      <c r="S233" s="32">
        <f>IF(Tabell2[[#This Row],[Yrkesaktivandel]]&lt;=J$427,J$427,IF(Tabell2[[#This Row],[Yrkesaktivandel]]&gt;=J$428,J$428,Tabell2[[#This Row],[Yrkesaktivandel]]))</f>
        <v>0.83176369863013699</v>
      </c>
      <c r="T233" s="67">
        <f>IF(Tabell2[[#This Row],[Inntekt]]&lt;=K$427,K$427,IF(Tabell2[[#This Row],[Inntekt]]&gt;=K$428,K$428,Tabell2[[#This Row],[Inntekt]]))</f>
        <v>388000</v>
      </c>
      <c r="U233" s="10">
        <f>IF(Tabell2[[#This Row],[NIBR11-T]]&lt;=L$430,100,IF(Tabell2[[#This Row],[NIBR11-T]]&gt;=L$429,0,100*(L$429-Tabell2[[#This Row],[NIBR11-T]])/L$432))</f>
        <v>20</v>
      </c>
      <c r="V233" s="10">
        <f>(M$429-Tabell2[[#This Row],[ReisetidOslo-T]])*100/M$432</f>
        <v>37.245497292148414</v>
      </c>
      <c r="W233" s="10">
        <f>100-(N$429-Tabell2[[#This Row],[Beftettotal-T]])*100/N$432</f>
        <v>2.51233212960922</v>
      </c>
      <c r="X233" s="10">
        <f>100-(O$429-Tabell2[[#This Row],[Befvekst10-T]])*100/O$432</f>
        <v>1.0727886222206848</v>
      </c>
      <c r="Y233" s="10">
        <f>100-(P$429-Tabell2[[#This Row],[Kvinneandel-T]])*100/P$432</f>
        <v>21.589961780111608</v>
      </c>
      <c r="Z233" s="10">
        <f>(Q$429-Tabell2[[#This Row],[Eldreandel-T]])*100/Q$432</f>
        <v>41.832608662280052</v>
      </c>
      <c r="AA233" s="10">
        <f>100-(R$429-Tabell2[[#This Row],[Sysselsettingsvekst10-T]])*100/R$432</f>
        <v>0</v>
      </c>
      <c r="AB233" s="10">
        <f>100-(S$429-Tabell2[[#This Row],[Yrkesaktivandel-T]])*100/S$432</f>
        <v>26.929254552020467</v>
      </c>
      <c r="AC233" s="10">
        <f>100-(T$429-Tabell2[[#This Row],[Inntekt-T]])*100/T$432</f>
        <v>32.067088748195047</v>
      </c>
      <c r="AD23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17.261103518761036</v>
      </c>
    </row>
    <row r="234" spans="1:30" x14ac:dyDescent="0.25">
      <c r="A234" s="2" t="s">
        <v>228</v>
      </c>
      <c r="B234" s="2">
        <v>232</v>
      </c>
      <c r="C234">
        <f>'Rådata-K'!N233</f>
        <v>11</v>
      </c>
      <c r="D234" s="30">
        <f>'Rådata-K'!M233</f>
        <v>225.3125</v>
      </c>
      <c r="E234" s="32">
        <f>'Rådata-K'!O233</f>
        <v>3.2664130656522623</v>
      </c>
      <c r="F234" s="32">
        <f>'Rådata-K'!P233</f>
        <v>-3.9858906525573223E-2</v>
      </c>
      <c r="G234" s="32">
        <f>'Rådata-K'!Q233</f>
        <v>0.10102865540044086</v>
      </c>
      <c r="H234" s="32">
        <f>'Rådata-K'!R233</f>
        <v>0.22373254959588537</v>
      </c>
      <c r="I234" s="32">
        <f>'Rådata-K'!S233</f>
        <v>-6.2063615205585343E-3</v>
      </c>
      <c r="J234" s="32">
        <f>'Rådata-K'!T233</f>
        <v>0.97274633123689724</v>
      </c>
      <c r="K234" s="67">
        <f>'Rådata-K'!L233</f>
        <v>406500</v>
      </c>
      <c r="L234" s="18">
        <f>Tabell2[[#This Row],[NIBR11]]</f>
        <v>11</v>
      </c>
      <c r="M234" s="32">
        <f>IF(Tabell2[[#This Row],[ReisetidOslo]]&lt;=D$427,D$427,IF(Tabell2[[#This Row],[ReisetidOslo]]&gt;=D$428,D$428,Tabell2[[#This Row],[ReisetidOslo]]))</f>
        <v>225.3125</v>
      </c>
      <c r="N234" s="32">
        <f>IF(Tabell2[[#This Row],[Beftettotal]]&lt;=E$427,E$427,IF(Tabell2[[#This Row],[Beftettotal]]&gt;=E$428,E$428,Tabell2[[#This Row],[Beftettotal]]))</f>
        <v>3.2664130656522623</v>
      </c>
      <c r="O234" s="32">
        <f>IF(Tabell2[[#This Row],[Befvekst10]]&lt;=F$427,F$427,IF(Tabell2[[#This Row],[Befvekst10]]&gt;=F$428,F$428,Tabell2[[#This Row],[Befvekst10]]))</f>
        <v>-3.9858906525573223E-2</v>
      </c>
      <c r="P234" s="32">
        <f>IF(Tabell2[[#This Row],[Kvinneandel]]&lt;=G$427,G$427,IF(Tabell2[[#This Row],[Kvinneandel]]&gt;=G$428,G$428,Tabell2[[#This Row],[Kvinneandel]]))</f>
        <v>0.10102865540044086</v>
      </c>
      <c r="Q234" s="32">
        <f>IF(Tabell2[[#This Row],[Eldreandel]]&lt;=H$427,H$427,IF(Tabell2[[#This Row],[Eldreandel]]&gt;=H$428,H$428,Tabell2[[#This Row],[Eldreandel]]))</f>
        <v>0.22303194152148736</v>
      </c>
      <c r="R234" s="32">
        <f>IF(Tabell2[[#This Row],[Sysselsettingsvekst10]]&lt;=I$427,I$427,IF(Tabell2[[#This Row],[Sysselsettingsvekst10]]&gt;=I$428,I$428,Tabell2[[#This Row],[Sysselsettingsvekst10]]))</f>
        <v>-6.2063615205585343E-3</v>
      </c>
      <c r="S234" s="32">
        <f>IF(Tabell2[[#This Row],[Yrkesaktivandel]]&lt;=J$427,J$427,IF(Tabell2[[#This Row],[Yrkesaktivandel]]&gt;=J$428,J$428,Tabell2[[#This Row],[Yrkesaktivandel]]))</f>
        <v>0.92597026588718434</v>
      </c>
      <c r="T234" s="67">
        <f>IF(Tabell2[[#This Row],[Inntekt]]&lt;=K$427,K$427,IF(Tabell2[[#This Row],[Inntekt]]&gt;=K$428,K$428,Tabell2[[#This Row],[Inntekt]]))</f>
        <v>406500</v>
      </c>
      <c r="U234" s="10">
        <f>IF(Tabell2[[#This Row],[NIBR11-T]]&lt;=L$430,100,IF(Tabell2[[#This Row],[NIBR11-T]]&gt;=L$429,0,100*(L$429-Tabell2[[#This Row],[NIBR11-T]])/L$432))</f>
        <v>0</v>
      </c>
      <c r="V234" s="10">
        <f>(M$429-Tabell2[[#This Row],[ReisetidOslo-T]])*100/M$432</f>
        <v>26.461213265611814</v>
      </c>
      <c r="W234" s="10">
        <f>100-(N$429-Tabell2[[#This Row],[Beftettotal-T]])*100/N$432</f>
        <v>1.5062409178504339</v>
      </c>
      <c r="X234" s="10">
        <f>100-(O$429-Tabell2[[#This Row],[Befvekst10-T]])*100/O$432</f>
        <v>6.3184594556186653</v>
      </c>
      <c r="Y234" s="10">
        <f>100-(P$429-Tabell2[[#This Row],[Kvinneandel-T]])*100/P$432</f>
        <v>29.350013562272622</v>
      </c>
      <c r="Z234" s="10">
        <f>(Q$429-Tabell2[[#This Row],[Eldreandel-T]])*100/Q$432</f>
        <v>0</v>
      </c>
      <c r="AA234" s="10">
        <f>100-(R$429-Tabell2[[#This Row],[Sysselsettingsvekst10-T]])*100/R$432</f>
        <v>35.191974473520375</v>
      </c>
      <c r="AB234" s="10">
        <f>100-(S$429-Tabell2[[#This Row],[Yrkesaktivandel-T]])*100/S$432</f>
        <v>100</v>
      </c>
      <c r="AC234" s="10">
        <f>100-(T$429-Tabell2[[#This Row],[Inntekt-T]])*100/T$432</f>
        <v>52.615794735088301</v>
      </c>
      <c r="AD23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24.308714908444458</v>
      </c>
    </row>
    <row r="235" spans="1:30" x14ac:dyDescent="0.25">
      <c r="A235" s="2" t="s">
        <v>229</v>
      </c>
      <c r="B235" s="2">
        <v>233</v>
      </c>
      <c r="C235">
        <f>'Rådata-K'!N234</f>
        <v>9</v>
      </c>
      <c r="D235" s="30">
        <f>'Rådata-K'!M234</f>
        <v>214.5</v>
      </c>
      <c r="E235" s="32">
        <f>'Rådata-K'!O234</f>
        <v>2.9976493588102495</v>
      </c>
      <c r="F235" s="32">
        <f>'Rådata-K'!P234</f>
        <v>-7.9342387419585436E-2</v>
      </c>
      <c r="G235" s="32">
        <f>'Rådata-K'!Q234</f>
        <v>0.11180124223602485</v>
      </c>
      <c r="H235" s="32">
        <f>'Rådata-K'!R234</f>
        <v>0.18245341614906832</v>
      </c>
      <c r="I235" s="32">
        <f>'Rådata-K'!S234</f>
        <v>-9.7682119205298013E-2</v>
      </c>
      <c r="J235" s="32">
        <f>'Rådata-K'!T234</f>
        <v>0.92432432432432432</v>
      </c>
      <c r="K235" s="67">
        <f>'Rådata-K'!L234</f>
        <v>371200</v>
      </c>
      <c r="L235" s="18">
        <f>Tabell2[[#This Row],[NIBR11]]</f>
        <v>9</v>
      </c>
      <c r="M235" s="32">
        <f>IF(Tabell2[[#This Row],[ReisetidOslo]]&lt;=D$427,D$427,IF(Tabell2[[#This Row],[ReisetidOslo]]&gt;=D$428,D$428,Tabell2[[#This Row],[ReisetidOslo]]))</f>
        <v>214.5</v>
      </c>
      <c r="N235" s="32">
        <f>IF(Tabell2[[#This Row],[Beftettotal]]&lt;=E$427,E$427,IF(Tabell2[[#This Row],[Beftettotal]]&gt;=E$428,E$428,Tabell2[[#This Row],[Beftettotal]]))</f>
        <v>2.9976493588102495</v>
      </c>
      <c r="O235" s="32">
        <f>IF(Tabell2[[#This Row],[Befvekst10]]&lt;=F$427,F$427,IF(Tabell2[[#This Row],[Befvekst10]]&gt;=F$428,F$428,Tabell2[[#This Row],[Befvekst10]]))</f>
        <v>-5.4526569027269343E-2</v>
      </c>
      <c r="P235" s="32">
        <f>IF(Tabell2[[#This Row],[Kvinneandel]]&lt;=G$427,G$427,IF(Tabell2[[#This Row],[Kvinneandel]]&gt;=G$428,G$428,Tabell2[[#This Row],[Kvinneandel]]))</f>
        <v>0.11180124223602485</v>
      </c>
      <c r="Q235" s="32">
        <f>IF(Tabell2[[#This Row],[Eldreandel]]&lt;=H$427,H$427,IF(Tabell2[[#This Row],[Eldreandel]]&gt;=H$428,H$428,Tabell2[[#This Row],[Eldreandel]]))</f>
        <v>0.18245341614906832</v>
      </c>
      <c r="R235" s="32">
        <f>IF(Tabell2[[#This Row],[Sysselsettingsvekst10]]&lt;=I$427,I$427,IF(Tabell2[[#This Row],[Sysselsettingsvekst10]]&gt;=I$428,I$428,Tabell2[[#This Row],[Sysselsettingsvekst10]]))</f>
        <v>-9.7682119205298013E-2</v>
      </c>
      <c r="S235" s="32">
        <f>IF(Tabell2[[#This Row],[Yrkesaktivandel]]&lt;=J$427,J$427,IF(Tabell2[[#This Row],[Yrkesaktivandel]]&gt;=J$428,J$428,Tabell2[[#This Row],[Yrkesaktivandel]]))</f>
        <v>0.92432432432432432</v>
      </c>
      <c r="T235" s="67">
        <f>IF(Tabell2[[#This Row],[Inntekt]]&lt;=K$427,K$427,IF(Tabell2[[#This Row],[Inntekt]]&gt;=K$428,K$428,Tabell2[[#This Row],[Inntekt]]))</f>
        <v>371200</v>
      </c>
      <c r="U235" s="10">
        <f>IF(Tabell2[[#This Row],[NIBR11-T]]&lt;=L$430,100,IF(Tabell2[[#This Row],[NIBR11-T]]&gt;=L$429,0,100*(L$429-Tabell2[[#This Row],[NIBR11-T]])/L$432))</f>
        <v>20</v>
      </c>
      <c r="V235" s="10">
        <f>(M$429-Tabell2[[#This Row],[ReisetidOslo-T]])*100/M$432</f>
        <v>31.119593132255591</v>
      </c>
      <c r="W235" s="10">
        <f>100-(N$429-Tabell2[[#This Row],[Beftettotal-T]])*100/N$432</f>
        <v>1.305929751840182</v>
      </c>
      <c r="X235" s="10">
        <f>100-(O$429-Tabell2[[#This Row],[Befvekst10-T]])*100/O$432</f>
        <v>0</v>
      </c>
      <c r="Y235" s="10">
        <f>100-(P$429-Tabell2[[#This Row],[Kvinneandel-T]])*100/P$432</f>
        <v>57.803681565984505</v>
      </c>
      <c r="Z235" s="10">
        <f>(Q$429-Tabell2[[#This Row],[Eldreandel-T]])*100/Q$432</f>
        <v>43.768495357413777</v>
      </c>
      <c r="AA235" s="10">
        <f>100-(R$429-Tabell2[[#This Row],[Sysselsettingsvekst10-T]])*100/R$432</f>
        <v>3.1897170620744788</v>
      </c>
      <c r="AB235" s="10">
        <f>100-(S$429-Tabell2[[#This Row],[Yrkesaktivandel-T]])*100/S$432</f>
        <v>98.723335533139306</v>
      </c>
      <c r="AC235" s="10">
        <f>100-(T$429-Tabell2[[#This Row],[Inntekt-T]])*100/T$432</f>
        <v>13.406642230367652</v>
      </c>
      <c r="AD23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23.853130617137634</v>
      </c>
    </row>
    <row r="236" spans="1:30" x14ac:dyDescent="0.25">
      <c r="A236" s="2" t="s">
        <v>230</v>
      </c>
      <c r="B236" s="2">
        <v>234</v>
      </c>
      <c r="C236">
        <f>'Rådata-K'!N235</f>
        <v>8</v>
      </c>
      <c r="D236" s="30">
        <f>'Rådata-K'!M235</f>
        <v>180.71875</v>
      </c>
      <c r="E236" s="32">
        <f>'Rådata-K'!O235</f>
        <v>12.94836202109939</v>
      </c>
      <c r="F236" s="32">
        <f>'Rådata-K'!P235</f>
        <v>6.0482037289677049E-2</v>
      </c>
      <c r="G236" s="32">
        <f>'Rådata-K'!Q235</f>
        <v>0.10891938250428816</v>
      </c>
      <c r="H236" s="32">
        <f>'Rådata-K'!R235</f>
        <v>0.17238421955403088</v>
      </c>
      <c r="I236" s="32">
        <f>'Rådata-K'!S235</f>
        <v>0.2592313489073097</v>
      </c>
      <c r="J236" s="32">
        <f>'Rådata-K'!T235</f>
        <v>0.93254901960784309</v>
      </c>
      <c r="K236" s="67">
        <f>'Rådata-K'!L235</f>
        <v>439400</v>
      </c>
      <c r="L236" s="18">
        <f>Tabell2[[#This Row],[NIBR11]]</f>
        <v>8</v>
      </c>
      <c r="M236" s="32">
        <f>IF(Tabell2[[#This Row],[ReisetidOslo]]&lt;=D$427,D$427,IF(Tabell2[[#This Row],[ReisetidOslo]]&gt;=D$428,D$428,Tabell2[[#This Row],[ReisetidOslo]]))</f>
        <v>180.71875</v>
      </c>
      <c r="N236" s="32">
        <f>IF(Tabell2[[#This Row],[Beftettotal]]&lt;=E$427,E$427,IF(Tabell2[[#This Row],[Beftettotal]]&gt;=E$428,E$428,Tabell2[[#This Row],[Beftettotal]]))</f>
        <v>12.94836202109939</v>
      </c>
      <c r="O236" s="32">
        <f>IF(Tabell2[[#This Row],[Befvekst10]]&lt;=F$427,F$427,IF(Tabell2[[#This Row],[Befvekst10]]&gt;=F$428,F$428,Tabell2[[#This Row],[Befvekst10]]))</f>
        <v>6.0482037289677049E-2</v>
      </c>
      <c r="P236" s="32">
        <f>IF(Tabell2[[#This Row],[Kvinneandel]]&lt;=G$427,G$427,IF(Tabell2[[#This Row],[Kvinneandel]]&gt;=G$428,G$428,Tabell2[[#This Row],[Kvinneandel]]))</f>
        <v>0.10891938250428816</v>
      </c>
      <c r="Q236" s="32">
        <f>IF(Tabell2[[#This Row],[Eldreandel]]&lt;=H$427,H$427,IF(Tabell2[[#This Row],[Eldreandel]]&gt;=H$428,H$428,Tabell2[[#This Row],[Eldreandel]]))</f>
        <v>0.17238421955403088</v>
      </c>
      <c r="R236" s="32">
        <f>IF(Tabell2[[#This Row],[Sysselsettingsvekst10]]&lt;=I$427,I$427,IF(Tabell2[[#This Row],[Sysselsettingsvekst10]]&gt;=I$428,I$428,Tabell2[[#This Row],[Sysselsettingsvekst10]]))</f>
        <v>0.17904192152607218</v>
      </c>
      <c r="S236" s="32">
        <f>IF(Tabell2[[#This Row],[Yrkesaktivandel]]&lt;=J$427,J$427,IF(Tabell2[[#This Row],[Yrkesaktivandel]]&gt;=J$428,J$428,Tabell2[[#This Row],[Yrkesaktivandel]]))</f>
        <v>0.92597026588718434</v>
      </c>
      <c r="T236" s="67">
        <f>IF(Tabell2[[#This Row],[Inntekt]]&lt;=K$427,K$427,IF(Tabell2[[#This Row],[Inntekt]]&gt;=K$428,K$428,Tabell2[[#This Row],[Inntekt]]))</f>
        <v>439400</v>
      </c>
      <c r="U236" s="10">
        <f>IF(Tabell2[[#This Row],[NIBR11-T]]&lt;=L$430,100,IF(Tabell2[[#This Row],[NIBR11-T]]&gt;=L$429,0,100*(L$429-Tabell2[[#This Row],[NIBR11-T]])/L$432))</f>
        <v>30</v>
      </c>
      <c r="V236" s="10">
        <f>(M$429-Tabell2[[#This Row],[ReisetidOslo-T]])*100/M$432</f>
        <v>45.67366433411086</v>
      </c>
      <c r="W236" s="10">
        <f>100-(N$429-Tabell2[[#This Row],[Beftettotal-T]])*100/N$432</f>
        <v>8.7222542230148292</v>
      </c>
      <c r="X236" s="10">
        <f>100-(O$429-Tabell2[[#This Row],[Befvekst10-T]])*100/O$432</f>
        <v>49.542809972400484</v>
      </c>
      <c r="Y236" s="10">
        <f>100-(P$429-Tabell2[[#This Row],[Kvinneandel-T]])*100/P$432</f>
        <v>50.191816255301532</v>
      </c>
      <c r="Z236" s="10">
        <f>(Q$429-Tabell2[[#This Row],[Eldreandel-T]])*100/Q$432</f>
        <v>54.62925435193192</v>
      </c>
      <c r="AA236" s="10">
        <f>100-(R$429-Tabell2[[#This Row],[Sysselsettingsvekst10-T]])*100/R$432</f>
        <v>100</v>
      </c>
      <c r="AB236" s="10">
        <f>100-(S$429-Tabell2[[#This Row],[Yrkesaktivandel-T]])*100/S$432</f>
        <v>100</v>
      </c>
      <c r="AC236" s="10">
        <f>100-(T$429-Tabell2[[#This Row],[Inntekt-T]])*100/T$432</f>
        <v>89.159169165833617</v>
      </c>
      <c r="AD23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55.505124297137705</v>
      </c>
    </row>
    <row r="237" spans="1:30" x14ac:dyDescent="0.25">
      <c r="A237" s="2" t="s">
        <v>231</v>
      </c>
      <c r="B237" s="2">
        <v>235</v>
      </c>
      <c r="C237">
        <f>'Rådata-K'!N236</f>
        <v>8</v>
      </c>
      <c r="D237" s="30">
        <f>'Rådata-K'!M236</f>
        <v>163.875</v>
      </c>
      <c r="E237" s="32">
        <f>'Rådata-K'!O236</f>
        <v>10.647055668776144</v>
      </c>
      <c r="F237" s="32">
        <f>'Rådata-K'!P236</f>
        <v>0.16402814423922596</v>
      </c>
      <c r="G237" s="32">
        <f>'Rådata-K'!Q236</f>
        <v>0.1449439617176678</v>
      </c>
      <c r="H237" s="32">
        <f>'Rådata-K'!R236</f>
        <v>0.14129202871174915</v>
      </c>
      <c r="I237" s="32">
        <f>'Rådata-K'!S236</f>
        <v>0.16838842975206614</v>
      </c>
      <c r="J237" s="32">
        <f>'Rådata-K'!T236</f>
        <v>0.90579248886059838</v>
      </c>
      <c r="K237" s="67">
        <f>'Rådata-K'!L236</f>
        <v>401900</v>
      </c>
      <c r="L237" s="18">
        <f>Tabell2[[#This Row],[NIBR11]]</f>
        <v>8</v>
      </c>
      <c r="M237" s="32">
        <f>IF(Tabell2[[#This Row],[ReisetidOslo]]&lt;=D$427,D$427,IF(Tabell2[[#This Row],[ReisetidOslo]]&gt;=D$428,D$428,Tabell2[[#This Row],[ReisetidOslo]]))</f>
        <v>163.875</v>
      </c>
      <c r="N237" s="32">
        <f>IF(Tabell2[[#This Row],[Beftettotal]]&lt;=E$427,E$427,IF(Tabell2[[#This Row],[Beftettotal]]&gt;=E$428,E$428,Tabell2[[#This Row],[Beftettotal]]))</f>
        <v>10.647055668776144</v>
      </c>
      <c r="O237" s="32">
        <f>IF(Tabell2[[#This Row],[Befvekst10]]&lt;=F$427,F$427,IF(Tabell2[[#This Row],[Befvekst10]]&gt;=F$428,F$428,Tabell2[[#This Row],[Befvekst10]]))</f>
        <v>0.16402814423922596</v>
      </c>
      <c r="P237" s="32">
        <f>IF(Tabell2[[#This Row],[Kvinneandel]]&lt;=G$427,G$427,IF(Tabell2[[#This Row],[Kvinneandel]]&gt;=G$428,G$428,Tabell2[[#This Row],[Kvinneandel]]))</f>
        <v>0.12777681011054584</v>
      </c>
      <c r="Q237" s="32">
        <f>IF(Tabell2[[#This Row],[Eldreandel]]&lt;=H$427,H$427,IF(Tabell2[[#This Row],[Eldreandel]]&gt;=H$428,H$428,Tabell2[[#This Row],[Eldreandel]]))</f>
        <v>0.14129202871174915</v>
      </c>
      <c r="R237" s="32">
        <f>IF(Tabell2[[#This Row],[Sysselsettingsvekst10]]&lt;=I$427,I$427,IF(Tabell2[[#This Row],[Sysselsettingsvekst10]]&gt;=I$428,I$428,Tabell2[[#This Row],[Sysselsettingsvekst10]]))</f>
        <v>0.16838842975206614</v>
      </c>
      <c r="S237" s="32">
        <f>IF(Tabell2[[#This Row],[Yrkesaktivandel]]&lt;=J$427,J$427,IF(Tabell2[[#This Row],[Yrkesaktivandel]]&gt;=J$428,J$428,Tabell2[[#This Row],[Yrkesaktivandel]]))</f>
        <v>0.90579248886059838</v>
      </c>
      <c r="T237" s="67">
        <f>IF(Tabell2[[#This Row],[Inntekt]]&lt;=K$427,K$427,IF(Tabell2[[#This Row],[Inntekt]]&gt;=K$428,K$428,Tabell2[[#This Row],[Inntekt]]))</f>
        <v>401900</v>
      </c>
      <c r="U237" s="10">
        <f>IF(Tabell2[[#This Row],[NIBR11-T]]&lt;=L$430,100,IF(Tabell2[[#This Row],[NIBR11-T]]&gt;=L$429,0,100*(L$429-Tabell2[[#This Row],[NIBR11-T]])/L$432))</f>
        <v>30</v>
      </c>
      <c r="V237" s="10">
        <f>(M$429-Tabell2[[#This Row],[ReisetidOslo-T]])*100/M$432</f>
        <v>52.930504646599289</v>
      </c>
      <c r="W237" s="10">
        <f>100-(N$429-Tabell2[[#This Row],[Beftettotal-T]])*100/N$432</f>
        <v>7.0070771100141371</v>
      </c>
      <c r="X237" s="10">
        <f>100-(O$429-Tabell2[[#This Row],[Befvekst10-T]])*100/O$432</f>
        <v>94.147864013712379</v>
      </c>
      <c r="Y237" s="10">
        <f>100-(P$429-Tabell2[[#This Row],[Kvinneandel-T]])*100/P$432</f>
        <v>100</v>
      </c>
      <c r="Z237" s="10">
        <f>(Q$429-Tabell2[[#This Row],[Eldreandel-T]])*100/Q$432</f>
        <v>88.16567288963455</v>
      </c>
      <c r="AA237" s="10">
        <f>100-(R$429-Tabell2[[#This Row],[Sysselsettingsvekst10-T]])*100/R$432</f>
        <v>96.272938375023273</v>
      </c>
      <c r="AB237" s="10">
        <f>100-(S$429-Tabell2[[#This Row],[Yrkesaktivandel-T]])*100/S$432</f>
        <v>84.349231144440665</v>
      </c>
      <c r="AC237" s="10">
        <f>100-(T$429-Tabell2[[#This Row],[Inntekt-T]])*100/T$432</f>
        <v>47.506386759968898</v>
      </c>
      <c r="AD23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63.04447025082883</v>
      </c>
    </row>
    <row r="238" spans="1:30" x14ac:dyDescent="0.25">
      <c r="A238" s="2" t="s">
        <v>232</v>
      </c>
      <c r="B238" s="2">
        <v>236</v>
      </c>
      <c r="C238">
        <f>'Rådata-K'!N237</f>
        <v>11</v>
      </c>
      <c r="D238" s="30">
        <f>'Rådata-K'!M237</f>
        <v>210.09375</v>
      </c>
      <c r="E238" s="32">
        <f>'Rådata-K'!O237</f>
        <v>1.2175595663934482</v>
      </c>
      <c r="F238" s="32">
        <f>'Rådata-K'!P237</f>
        <v>4.1982507288629733E-2</v>
      </c>
      <c r="G238" s="32">
        <f>'Rådata-K'!Q237</f>
        <v>0.12926692781197538</v>
      </c>
      <c r="H238" s="32">
        <f>'Rådata-K'!R237</f>
        <v>0.18802462227196418</v>
      </c>
      <c r="I238" s="32">
        <f>'Rådata-K'!S237</f>
        <v>9.9255583126550917E-2</v>
      </c>
      <c r="J238" s="32">
        <f>'Rådata-K'!T237</f>
        <v>0.89373814041745736</v>
      </c>
      <c r="K238" s="67">
        <f>'Rådata-K'!L237</f>
        <v>400500</v>
      </c>
      <c r="L238" s="18">
        <f>Tabell2[[#This Row],[NIBR11]]</f>
        <v>11</v>
      </c>
      <c r="M238" s="32">
        <f>IF(Tabell2[[#This Row],[ReisetidOslo]]&lt;=D$427,D$427,IF(Tabell2[[#This Row],[ReisetidOslo]]&gt;=D$428,D$428,Tabell2[[#This Row],[ReisetidOslo]]))</f>
        <v>210.09375</v>
      </c>
      <c r="N238" s="32">
        <f>IF(Tabell2[[#This Row],[Beftettotal]]&lt;=E$427,E$427,IF(Tabell2[[#This Row],[Beftettotal]]&gt;=E$428,E$428,Tabell2[[#This Row],[Beftettotal]]))</f>
        <v>1.2454428893921135</v>
      </c>
      <c r="O238" s="32">
        <f>IF(Tabell2[[#This Row],[Befvekst10]]&lt;=F$427,F$427,IF(Tabell2[[#This Row],[Befvekst10]]&gt;=F$428,F$428,Tabell2[[#This Row],[Befvekst10]]))</f>
        <v>4.1982507288629733E-2</v>
      </c>
      <c r="P238" s="32">
        <f>IF(Tabell2[[#This Row],[Kvinneandel]]&lt;=G$427,G$427,IF(Tabell2[[#This Row],[Kvinneandel]]&gt;=G$428,G$428,Tabell2[[#This Row],[Kvinneandel]]))</f>
        <v>0.12777681011054584</v>
      </c>
      <c r="Q238" s="32">
        <f>IF(Tabell2[[#This Row],[Eldreandel]]&lt;=H$427,H$427,IF(Tabell2[[#This Row],[Eldreandel]]&gt;=H$428,H$428,Tabell2[[#This Row],[Eldreandel]]))</f>
        <v>0.18802462227196418</v>
      </c>
      <c r="R238" s="32">
        <f>IF(Tabell2[[#This Row],[Sysselsettingsvekst10]]&lt;=I$427,I$427,IF(Tabell2[[#This Row],[Sysselsettingsvekst10]]&gt;=I$428,I$428,Tabell2[[#This Row],[Sysselsettingsvekst10]]))</f>
        <v>9.9255583126550917E-2</v>
      </c>
      <c r="S238" s="32">
        <f>IF(Tabell2[[#This Row],[Yrkesaktivandel]]&lt;=J$427,J$427,IF(Tabell2[[#This Row],[Yrkesaktivandel]]&gt;=J$428,J$428,Tabell2[[#This Row],[Yrkesaktivandel]]))</f>
        <v>0.89373814041745736</v>
      </c>
      <c r="T238" s="67">
        <f>IF(Tabell2[[#This Row],[Inntekt]]&lt;=K$427,K$427,IF(Tabell2[[#This Row],[Inntekt]]&gt;=K$428,K$428,Tabell2[[#This Row],[Inntekt]]))</f>
        <v>400500</v>
      </c>
      <c r="U238" s="10">
        <f>IF(Tabell2[[#This Row],[NIBR11-T]]&lt;=L$430,100,IF(Tabell2[[#This Row],[NIBR11-T]]&gt;=L$429,0,100*(L$429-Tabell2[[#This Row],[NIBR11-T]])/L$432))</f>
        <v>0</v>
      </c>
      <c r="V238" s="10">
        <f>(M$429-Tabell2[[#This Row],[ReisetidOslo-T]])*100/M$432</f>
        <v>33.017950245541066</v>
      </c>
      <c r="W238" s="10">
        <f>100-(N$429-Tabell2[[#This Row],[Beftettotal-T]])*100/N$432</f>
        <v>0</v>
      </c>
      <c r="X238" s="10">
        <f>100-(O$429-Tabell2[[#This Row],[Befvekst10-T]])*100/O$432</f>
        <v>41.57367854153329</v>
      </c>
      <c r="Y238" s="10">
        <f>100-(P$429-Tabell2[[#This Row],[Kvinneandel-T]])*100/P$432</f>
        <v>100</v>
      </c>
      <c r="Z238" s="10">
        <f>(Q$429-Tabell2[[#This Row],[Eldreandel-T]])*100/Q$432</f>
        <v>37.759324075627838</v>
      </c>
      <c r="AA238" s="10">
        <f>100-(R$429-Tabell2[[#This Row],[Sysselsettingsvekst10-T]])*100/R$432</f>
        <v>72.087217378641384</v>
      </c>
      <c r="AB238" s="10">
        <f>100-(S$429-Tabell2[[#This Row],[Yrkesaktivandel-T]])*100/S$432</f>
        <v>74.999349790345221</v>
      </c>
      <c r="AC238" s="10">
        <f>100-(T$429-Tabell2[[#This Row],[Inntekt-T]])*100/T$432</f>
        <v>45.951349550149949</v>
      </c>
      <c r="AD23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37.808288608555813</v>
      </c>
    </row>
    <row r="239" spans="1:30" x14ac:dyDescent="0.25">
      <c r="A239" s="2" t="s">
        <v>233</v>
      </c>
      <c r="B239" s="2">
        <v>237</v>
      </c>
      <c r="C239">
        <f>'Rådata-K'!N238</f>
        <v>9</v>
      </c>
      <c r="D239" s="30">
        <f>'Rådata-K'!M238</f>
        <v>184.59375</v>
      </c>
      <c r="E239" s="32">
        <f>'Rådata-K'!O238</f>
        <v>1.6082176270782433</v>
      </c>
      <c r="F239" s="32">
        <f>'Rådata-K'!P238</f>
        <v>2.7868091035763154E-3</v>
      </c>
      <c r="G239" s="32">
        <f>'Rådata-K'!Q238</f>
        <v>9.1245947197776747E-2</v>
      </c>
      <c r="H239" s="32">
        <f>'Rådata-K'!R238</f>
        <v>0.19453450671607225</v>
      </c>
      <c r="I239" s="32">
        <f>'Rådata-K'!S238</f>
        <v>-1.5194681861348536E-2</v>
      </c>
      <c r="J239" s="32">
        <f>'Rådata-K'!T238</f>
        <v>0.92493744787322774</v>
      </c>
      <c r="K239" s="67">
        <f>'Rådata-K'!L238</f>
        <v>398900</v>
      </c>
      <c r="L239" s="18">
        <f>Tabell2[[#This Row],[NIBR11]]</f>
        <v>9</v>
      </c>
      <c r="M239" s="32">
        <f>IF(Tabell2[[#This Row],[ReisetidOslo]]&lt;=D$427,D$427,IF(Tabell2[[#This Row],[ReisetidOslo]]&gt;=D$428,D$428,Tabell2[[#This Row],[ReisetidOslo]]))</f>
        <v>184.59375</v>
      </c>
      <c r="N239" s="32">
        <f>IF(Tabell2[[#This Row],[Beftettotal]]&lt;=E$427,E$427,IF(Tabell2[[#This Row],[Beftettotal]]&gt;=E$428,E$428,Tabell2[[#This Row],[Beftettotal]]))</f>
        <v>1.6082176270782433</v>
      </c>
      <c r="O239" s="32">
        <f>IF(Tabell2[[#This Row],[Befvekst10]]&lt;=F$427,F$427,IF(Tabell2[[#This Row],[Befvekst10]]&gt;=F$428,F$428,Tabell2[[#This Row],[Befvekst10]]))</f>
        <v>2.7868091035763154E-3</v>
      </c>
      <c r="P239" s="32">
        <f>IF(Tabell2[[#This Row],[Kvinneandel]]&lt;=G$427,G$427,IF(Tabell2[[#This Row],[Kvinneandel]]&gt;=G$428,G$428,Tabell2[[#This Row],[Kvinneandel]]))</f>
        <v>9.1245947197776747E-2</v>
      </c>
      <c r="Q239" s="32">
        <f>IF(Tabell2[[#This Row],[Eldreandel]]&lt;=H$427,H$427,IF(Tabell2[[#This Row],[Eldreandel]]&gt;=H$428,H$428,Tabell2[[#This Row],[Eldreandel]]))</f>
        <v>0.19453450671607225</v>
      </c>
      <c r="R239" s="32">
        <f>IF(Tabell2[[#This Row],[Sysselsettingsvekst10]]&lt;=I$427,I$427,IF(Tabell2[[#This Row],[Sysselsettingsvekst10]]&gt;=I$428,I$428,Tabell2[[#This Row],[Sysselsettingsvekst10]]))</f>
        <v>-1.5194681861348536E-2</v>
      </c>
      <c r="S239" s="32">
        <f>IF(Tabell2[[#This Row],[Yrkesaktivandel]]&lt;=J$427,J$427,IF(Tabell2[[#This Row],[Yrkesaktivandel]]&gt;=J$428,J$428,Tabell2[[#This Row],[Yrkesaktivandel]]))</f>
        <v>0.92493744787322774</v>
      </c>
      <c r="T239" s="67">
        <f>IF(Tabell2[[#This Row],[Inntekt]]&lt;=K$427,K$427,IF(Tabell2[[#This Row],[Inntekt]]&gt;=K$428,K$428,Tabell2[[#This Row],[Inntekt]]))</f>
        <v>398900</v>
      </c>
      <c r="U239" s="10">
        <f>IF(Tabell2[[#This Row],[NIBR11-T]]&lt;=L$430,100,IF(Tabell2[[#This Row],[NIBR11-T]]&gt;=L$429,0,100*(L$429-Tabell2[[#This Row],[NIBR11-T]])/L$432))</f>
        <v>20</v>
      </c>
      <c r="V239" s="10">
        <f>(M$429-Tabell2[[#This Row],[ReisetidOslo-T]])*100/M$432</f>
        <v>44.00418715646974</v>
      </c>
      <c r="W239" s="10">
        <f>100-(N$429-Tabell2[[#This Row],[Beftettotal-T]])*100/N$432</f>
        <v>0.27037813832387769</v>
      </c>
      <c r="X239" s="10">
        <f>100-(O$429-Tabell2[[#This Row],[Befvekst10-T]])*100/O$432</f>
        <v>24.689159294632958</v>
      </c>
      <c r="Y239" s="10">
        <f>100-(P$429-Tabell2[[#This Row],[Kvinneandel-T]])*100/P$432</f>
        <v>3.5109151521920268</v>
      </c>
      <c r="Z239" s="10">
        <f>(Q$429-Tabell2[[#This Row],[Eldreandel-T]])*100/Q$432</f>
        <v>30.737682839179456</v>
      </c>
      <c r="AA239" s="10">
        <f>100-(R$429-Tabell2[[#This Row],[Sysselsettingsvekst10-T]])*100/R$432</f>
        <v>32.047463309875937</v>
      </c>
      <c r="AB239" s="10">
        <f>100-(S$429-Tabell2[[#This Row],[Yrkesaktivandel-T]])*100/S$432</f>
        <v>99.198901049159446</v>
      </c>
      <c r="AC239" s="10">
        <f>100-(T$429-Tabell2[[#This Row],[Inntekt-T]])*100/T$432</f>
        <v>44.174164167499725</v>
      </c>
      <c r="AD23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32.619771140628039</v>
      </c>
    </row>
    <row r="240" spans="1:30" x14ac:dyDescent="0.25">
      <c r="A240" s="2" t="s">
        <v>234</v>
      </c>
      <c r="B240" s="2">
        <v>238</v>
      </c>
      <c r="C240">
        <f>'Rådata-K'!N239</f>
        <v>9</v>
      </c>
      <c r="D240" s="30">
        <f>'Rådata-K'!M239</f>
        <v>197.28125</v>
      </c>
      <c r="E240" s="32">
        <f>'Rådata-K'!O239</f>
        <v>5.4916135902844623</v>
      </c>
      <c r="F240" s="32">
        <f>'Rådata-K'!P239</f>
        <v>-2.3310872336550714E-2</v>
      </c>
      <c r="G240" s="32">
        <f>'Rådata-K'!Q239</f>
        <v>0.10124930076449748</v>
      </c>
      <c r="H240" s="32">
        <f>'Rådata-K'!R239</f>
        <v>0.19522655230281558</v>
      </c>
      <c r="I240" s="32">
        <f>'Rådata-K'!S239</f>
        <v>-3.8707386363636354E-2</v>
      </c>
      <c r="J240" s="32">
        <f>'Rådata-K'!T239</f>
        <v>0.84081231575499504</v>
      </c>
      <c r="K240" s="67">
        <f>'Rådata-K'!L239</f>
        <v>414000</v>
      </c>
      <c r="L240" s="18">
        <f>Tabell2[[#This Row],[NIBR11]]</f>
        <v>9</v>
      </c>
      <c r="M240" s="32">
        <f>IF(Tabell2[[#This Row],[ReisetidOslo]]&lt;=D$427,D$427,IF(Tabell2[[#This Row],[ReisetidOslo]]&gt;=D$428,D$428,Tabell2[[#This Row],[ReisetidOslo]]))</f>
        <v>197.28125</v>
      </c>
      <c r="N240" s="32">
        <f>IF(Tabell2[[#This Row],[Beftettotal]]&lt;=E$427,E$427,IF(Tabell2[[#This Row],[Beftettotal]]&gt;=E$428,E$428,Tabell2[[#This Row],[Beftettotal]]))</f>
        <v>5.4916135902844623</v>
      </c>
      <c r="O240" s="32">
        <f>IF(Tabell2[[#This Row],[Befvekst10]]&lt;=F$427,F$427,IF(Tabell2[[#This Row],[Befvekst10]]&gt;=F$428,F$428,Tabell2[[#This Row],[Befvekst10]]))</f>
        <v>-2.3310872336550714E-2</v>
      </c>
      <c r="P240" s="32">
        <f>IF(Tabell2[[#This Row],[Kvinneandel]]&lt;=G$427,G$427,IF(Tabell2[[#This Row],[Kvinneandel]]&gt;=G$428,G$428,Tabell2[[#This Row],[Kvinneandel]]))</f>
        <v>0.10124930076449748</v>
      </c>
      <c r="Q240" s="32">
        <f>IF(Tabell2[[#This Row],[Eldreandel]]&lt;=H$427,H$427,IF(Tabell2[[#This Row],[Eldreandel]]&gt;=H$428,H$428,Tabell2[[#This Row],[Eldreandel]]))</f>
        <v>0.19522655230281558</v>
      </c>
      <c r="R240" s="32">
        <f>IF(Tabell2[[#This Row],[Sysselsettingsvekst10]]&lt;=I$427,I$427,IF(Tabell2[[#This Row],[Sysselsettingsvekst10]]&gt;=I$428,I$428,Tabell2[[#This Row],[Sysselsettingsvekst10]]))</f>
        <v>-3.8707386363636354E-2</v>
      </c>
      <c r="S240" s="32">
        <f>IF(Tabell2[[#This Row],[Yrkesaktivandel]]&lt;=J$427,J$427,IF(Tabell2[[#This Row],[Yrkesaktivandel]]&gt;=J$428,J$428,Tabell2[[#This Row],[Yrkesaktivandel]]))</f>
        <v>0.84081231575499504</v>
      </c>
      <c r="T240" s="67">
        <f>IF(Tabell2[[#This Row],[Inntekt]]&lt;=K$427,K$427,IF(Tabell2[[#This Row],[Inntekt]]&gt;=K$428,K$428,Tabell2[[#This Row],[Inntekt]]))</f>
        <v>414000</v>
      </c>
      <c r="U240" s="10">
        <f>IF(Tabell2[[#This Row],[NIBR11-T]]&lt;=L$430,100,IF(Tabell2[[#This Row],[NIBR11-T]]&gt;=L$429,0,100*(L$429-Tabell2[[#This Row],[NIBR11-T]])/L$432))</f>
        <v>20</v>
      </c>
      <c r="V240" s="10">
        <f>(M$429-Tabell2[[#This Row],[ReisetidOslo-T]])*100/M$432</f>
        <v>38.537995752257672</v>
      </c>
      <c r="W240" s="10">
        <f>100-(N$429-Tabell2[[#This Row],[Beftettotal-T]])*100/N$432</f>
        <v>3.164695911394972</v>
      </c>
      <c r="X240" s="10">
        <f>100-(O$429-Tabell2[[#This Row],[Befvekst10-T]])*100/O$432</f>
        <v>13.446935658383737</v>
      </c>
      <c r="Y240" s="10">
        <f>100-(P$429-Tabell2[[#This Row],[Kvinneandel-T]])*100/P$432</f>
        <v>29.932804866835355</v>
      </c>
      <c r="Z240" s="10">
        <f>(Q$429-Tabell2[[#This Row],[Eldreandel-T]])*100/Q$432</f>
        <v>29.991233978051508</v>
      </c>
      <c r="AA240" s="10">
        <f>100-(R$429-Tabell2[[#This Row],[Sysselsettingsvekst10-T]])*100/R$432</f>
        <v>23.821681518434076</v>
      </c>
      <c r="AB240" s="10">
        <f>100-(S$429-Tabell2[[#This Row],[Yrkesaktivandel-T]])*100/S$432</f>
        <v>33.947758864810496</v>
      </c>
      <c r="AC240" s="10">
        <f>100-(T$429-Tabell2[[#This Row],[Inntekt-T]])*100/T$432</f>
        <v>60.946351216261249</v>
      </c>
      <c r="AD24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25.727437400236941</v>
      </c>
    </row>
    <row r="241" spans="1:30" x14ac:dyDescent="0.25">
      <c r="A241" s="2" t="s">
        <v>235</v>
      </c>
      <c r="B241" s="2">
        <v>239</v>
      </c>
      <c r="C241">
        <f>'Rådata-K'!N240</f>
        <v>8</v>
      </c>
      <c r="D241" s="30">
        <f>'Rådata-K'!M240</f>
        <v>184.28125</v>
      </c>
      <c r="E241" s="32">
        <f>'Rådata-K'!O240</f>
        <v>1.9033929244481234</v>
      </c>
      <c r="F241" s="32">
        <f>'Rådata-K'!P240</f>
        <v>5.4668304668304746E-2</v>
      </c>
      <c r="G241" s="32">
        <f>'Rådata-K'!Q240</f>
        <v>0.11182294700058241</v>
      </c>
      <c r="H241" s="32">
        <f>'Rådata-K'!R240</f>
        <v>0.17977091826829741</v>
      </c>
      <c r="I241" s="32">
        <f>'Rådata-K'!S240</f>
        <v>1.5159171298635643E-2</v>
      </c>
      <c r="J241" s="32">
        <f>'Rådata-K'!T240</f>
        <v>0.91985940246045694</v>
      </c>
      <c r="K241" s="67">
        <f>'Rådata-K'!L240</f>
        <v>383600</v>
      </c>
      <c r="L241" s="18">
        <f>Tabell2[[#This Row],[NIBR11]]</f>
        <v>8</v>
      </c>
      <c r="M241" s="32">
        <f>IF(Tabell2[[#This Row],[ReisetidOslo]]&lt;=D$427,D$427,IF(Tabell2[[#This Row],[ReisetidOslo]]&gt;=D$428,D$428,Tabell2[[#This Row],[ReisetidOslo]]))</f>
        <v>184.28125</v>
      </c>
      <c r="N241" s="32">
        <f>IF(Tabell2[[#This Row],[Beftettotal]]&lt;=E$427,E$427,IF(Tabell2[[#This Row],[Beftettotal]]&gt;=E$428,E$428,Tabell2[[#This Row],[Beftettotal]]))</f>
        <v>1.9033929244481234</v>
      </c>
      <c r="O241" s="32">
        <f>IF(Tabell2[[#This Row],[Befvekst10]]&lt;=F$427,F$427,IF(Tabell2[[#This Row],[Befvekst10]]&gt;=F$428,F$428,Tabell2[[#This Row],[Befvekst10]]))</f>
        <v>5.4668304668304746E-2</v>
      </c>
      <c r="P241" s="32">
        <f>IF(Tabell2[[#This Row],[Kvinneandel]]&lt;=G$427,G$427,IF(Tabell2[[#This Row],[Kvinneandel]]&gt;=G$428,G$428,Tabell2[[#This Row],[Kvinneandel]]))</f>
        <v>0.11182294700058241</v>
      </c>
      <c r="Q241" s="32">
        <f>IF(Tabell2[[#This Row],[Eldreandel]]&lt;=H$427,H$427,IF(Tabell2[[#This Row],[Eldreandel]]&gt;=H$428,H$428,Tabell2[[#This Row],[Eldreandel]]))</f>
        <v>0.17977091826829741</v>
      </c>
      <c r="R241" s="32">
        <f>IF(Tabell2[[#This Row],[Sysselsettingsvekst10]]&lt;=I$427,I$427,IF(Tabell2[[#This Row],[Sysselsettingsvekst10]]&gt;=I$428,I$428,Tabell2[[#This Row],[Sysselsettingsvekst10]]))</f>
        <v>1.5159171298635643E-2</v>
      </c>
      <c r="S241" s="32">
        <f>IF(Tabell2[[#This Row],[Yrkesaktivandel]]&lt;=J$427,J$427,IF(Tabell2[[#This Row],[Yrkesaktivandel]]&gt;=J$428,J$428,Tabell2[[#This Row],[Yrkesaktivandel]]))</f>
        <v>0.91985940246045694</v>
      </c>
      <c r="T241" s="67">
        <f>IF(Tabell2[[#This Row],[Inntekt]]&lt;=K$427,K$427,IF(Tabell2[[#This Row],[Inntekt]]&gt;=K$428,K$428,Tabell2[[#This Row],[Inntekt]]))</f>
        <v>383600</v>
      </c>
      <c r="U241" s="10">
        <f>IF(Tabell2[[#This Row],[NIBR11-T]]&lt;=L$430,100,IF(Tabell2[[#This Row],[NIBR11-T]]&gt;=L$429,0,100*(L$429-Tabell2[[#This Row],[NIBR11-T]])/L$432))</f>
        <v>30</v>
      </c>
      <c r="V241" s="10">
        <f>(M$429-Tabell2[[#This Row],[ReisetidOslo-T]])*100/M$432</f>
        <v>44.138822412731116</v>
      </c>
      <c r="W241" s="10">
        <f>100-(N$429-Tabell2[[#This Row],[Beftettotal-T]])*100/N$432</f>
        <v>0.49037401756042698</v>
      </c>
      <c r="X241" s="10">
        <f>100-(O$429-Tabell2[[#This Row],[Befvekst10-T]])*100/O$432</f>
        <v>47.038400435454783</v>
      </c>
      <c r="Y241" s="10">
        <f>100-(P$429-Tabell2[[#This Row],[Kvinneandel-T]])*100/P$432</f>
        <v>57.861010429909719</v>
      </c>
      <c r="Z241" s="10">
        <f>(Q$429-Tabell2[[#This Row],[Eldreandel-T]])*100/Q$432</f>
        <v>46.66187048534772</v>
      </c>
      <c r="AA241" s="10">
        <f>100-(R$429-Tabell2[[#This Row],[Sysselsettingsvekst10-T]])*100/R$432</f>
        <v>42.6665808426635</v>
      </c>
      <c r="AB241" s="10">
        <f>100-(S$429-Tabell2[[#This Row],[Yrkesaktivandel-T]])*100/S$432</f>
        <v>95.260146304838827</v>
      </c>
      <c r="AC241" s="10">
        <f>100-(T$429-Tabell2[[#This Row],[Inntekt-T]])*100/T$432</f>
        <v>27.17982894590692</v>
      </c>
      <c r="AD24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41.607399385223907</v>
      </c>
    </row>
    <row r="242" spans="1:30" x14ac:dyDescent="0.25">
      <c r="A242" s="2" t="s">
        <v>236</v>
      </c>
      <c r="B242" s="2">
        <v>240</v>
      </c>
      <c r="C242">
        <f>'Rådata-K'!N241</f>
        <v>8</v>
      </c>
      <c r="D242" s="30">
        <f>'Rådata-K'!M241</f>
        <v>197.5</v>
      </c>
      <c r="E242" s="32">
        <f>'Rådata-K'!O241</f>
        <v>9.3969402458840481</v>
      </c>
      <c r="F242" s="32">
        <f>'Rådata-K'!P241</f>
        <v>-2.4817053770283204E-2</v>
      </c>
      <c r="G242" s="32">
        <f>'Rådata-K'!Q241</f>
        <v>9.7553017944535067E-2</v>
      </c>
      <c r="H242" s="32">
        <f>'Rådata-K'!R241</f>
        <v>0.22283849918433932</v>
      </c>
      <c r="I242" s="32">
        <f>'Rådata-K'!S241</f>
        <v>-7.1726438698915818E-2</v>
      </c>
      <c r="J242" s="32">
        <f>'Rådata-K'!T241</f>
        <v>0.90536277602523663</v>
      </c>
      <c r="K242" s="67">
        <f>'Rådata-K'!L241</f>
        <v>402200</v>
      </c>
      <c r="L242" s="18">
        <f>Tabell2[[#This Row],[NIBR11]]</f>
        <v>8</v>
      </c>
      <c r="M242" s="32">
        <f>IF(Tabell2[[#This Row],[ReisetidOslo]]&lt;=D$427,D$427,IF(Tabell2[[#This Row],[ReisetidOslo]]&gt;=D$428,D$428,Tabell2[[#This Row],[ReisetidOslo]]))</f>
        <v>197.5</v>
      </c>
      <c r="N242" s="32">
        <f>IF(Tabell2[[#This Row],[Beftettotal]]&lt;=E$427,E$427,IF(Tabell2[[#This Row],[Beftettotal]]&gt;=E$428,E$428,Tabell2[[#This Row],[Beftettotal]]))</f>
        <v>9.3969402458840481</v>
      </c>
      <c r="O242" s="32">
        <f>IF(Tabell2[[#This Row],[Befvekst10]]&lt;=F$427,F$427,IF(Tabell2[[#This Row],[Befvekst10]]&gt;=F$428,F$428,Tabell2[[#This Row],[Befvekst10]]))</f>
        <v>-2.4817053770283204E-2</v>
      </c>
      <c r="P242" s="32">
        <f>IF(Tabell2[[#This Row],[Kvinneandel]]&lt;=G$427,G$427,IF(Tabell2[[#This Row],[Kvinneandel]]&gt;=G$428,G$428,Tabell2[[#This Row],[Kvinneandel]]))</f>
        <v>9.7553017944535067E-2</v>
      </c>
      <c r="Q242" s="32">
        <f>IF(Tabell2[[#This Row],[Eldreandel]]&lt;=H$427,H$427,IF(Tabell2[[#This Row],[Eldreandel]]&gt;=H$428,H$428,Tabell2[[#This Row],[Eldreandel]]))</f>
        <v>0.22283849918433932</v>
      </c>
      <c r="R242" s="32">
        <f>IF(Tabell2[[#This Row],[Sysselsettingsvekst10]]&lt;=I$427,I$427,IF(Tabell2[[#This Row],[Sysselsettingsvekst10]]&gt;=I$428,I$428,Tabell2[[#This Row],[Sysselsettingsvekst10]]))</f>
        <v>-7.1726438698915818E-2</v>
      </c>
      <c r="S242" s="32">
        <f>IF(Tabell2[[#This Row],[Yrkesaktivandel]]&lt;=J$427,J$427,IF(Tabell2[[#This Row],[Yrkesaktivandel]]&gt;=J$428,J$428,Tabell2[[#This Row],[Yrkesaktivandel]]))</f>
        <v>0.90536277602523663</v>
      </c>
      <c r="T242" s="67">
        <f>IF(Tabell2[[#This Row],[Inntekt]]&lt;=K$427,K$427,IF(Tabell2[[#This Row],[Inntekt]]&gt;=K$428,K$428,Tabell2[[#This Row],[Inntekt]]))</f>
        <v>402200</v>
      </c>
      <c r="U242" s="10">
        <f>IF(Tabell2[[#This Row],[NIBR11-T]]&lt;=L$430,100,IF(Tabell2[[#This Row],[NIBR11-T]]&gt;=L$429,0,100*(L$429-Tabell2[[#This Row],[NIBR11-T]])/L$432))</f>
        <v>30</v>
      </c>
      <c r="V242" s="10">
        <f>(M$429-Tabell2[[#This Row],[ReisetidOslo-T]])*100/M$432</f>
        <v>38.443751072874704</v>
      </c>
      <c r="W242" s="10">
        <f>100-(N$429-Tabell2[[#This Row],[Beftettotal-T]])*100/N$432</f>
        <v>6.075358758048921</v>
      </c>
      <c r="X242" s="10">
        <f>100-(O$429-Tabell2[[#This Row],[Befvekst10-T]])*100/O$432</f>
        <v>12.798110644804112</v>
      </c>
      <c r="Y242" s="10">
        <f>100-(P$429-Tabell2[[#This Row],[Kvinneandel-T]])*100/P$432</f>
        <v>20.169801252918987</v>
      </c>
      <c r="Z242" s="10">
        <f>(Q$429-Tabell2[[#This Row],[Eldreandel-T]])*100/Q$432</f>
        <v>0.20864927834825506</v>
      </c>
      <c r="AA242" s="10">
        <f>100-(R$429-Tabell2[[#This Row],[Sysselsettingsvekst10-T]])*100/R$432</f>
        <v>12.270159682918319</v>
      </c>
      <c r="AB242" s="10">
        <f>100-(S$429-Tabell2[[#This Row],[Yrkesaktivandel-T]])*100/S$432</f>
        <v>84.015927022204977</v>
      </c>
      <c r="AC242" s="10">
        <f>100-(T$429-Tabell2[[#This Row],[Inntekt-T]])*100/T$432</f>
        <v>47.839609019215814</v>
      </c>
      <c r="AD24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28.443025211050461</v>
      </c>
    </row>
    <row r="243" spans="1:30" x14ac:dyDescent="0.25">
      <c r="A243" s="2" t="s">
        <v>237</v>
      </c>
      <c r="B243" s="2">
        <v>241</v>
      </c>
      <c r="C243">
        <f>'Rådata-K'!N242</f>
        <v>6</v>
      </c>
      <c r="D243" s="30">
        <f>'Rådata-K'!M242</f>
        <v>182.09375</v>
      </c>
      <c r="E243" s="32">
        <f>'Rådata-K'!O242</f>
        <v>6.8713836402487338</v>
      </c>
      <c r="F243" s="32">
        <f>'Rådata-K'!P242</f>
        <v>-2.7874564459929863E-3</v>
      </c>
      <c r="G243" s="32">
        <f>'Rådata-K'!Q242</f>
        <v>0.10726764500349406</v>
      </c>
      <c r="H243" s="32">
        <f>'Rådata-K'!R242</f>
        <v>0.18902865129280225</v>
      </c>
      <c r="I243" s="32">
        <f>'Rådata-K'!S242</f>
        <v>0.14346712211784807</v>
      </c>
      <c r="J243" s="32">
        <f>'Rådata-K'!T242</f>
        <v>0.94263994471319967</v>
      </c>
      <c r="K243" s="67">
        <f>'Rådata-K'!L242</f>
        <v>377800</v>
      </c>
      <c r="L243" s="18">
        <f>Tabell2[[#This Row],[NIBR11]]</f>
        <v>6</v>
      </c>
      <c r="M243" s="32">
        <f>IF(Tabell2[[#This Row],[ReisetidOslo]]&lt;=D$427,D$427,IF(Tabell2[[#This Row],[ReisetidOslo]]&gt;=D$428,D$428,Tabell2[[#This Row],[ReisetidOslo]]))</f>
        <v>182.09375</v>
      </c>
      <c r="N243" s="32">
        <f>IF(Tabell2[[#This Row],[Beftettotal]]&lt;=E$427,E$427,IF(Tabell2[[#This Row],[Beftettotal]]&gt;=E$428,E$428,Tabell2[[#This Row],[Beftettotal]]))</f>
        <v>6.8713836402487338</v>
      </c>
      <c r="O243" s="32">
        <f>IF(Tabell2[[#This Row],[Befvekst10]]&lt;=F$427,F$427,IF(Tabell2[[#This Row],[Befvekst10]]&gt;=F$428,F$428,Tabell2[[#This Row],[Befvekst10]]))</f>
        <v>-2.7874564459929863E-3</v>
      </c>
      <c r="P243" s="32">
        <f>IF(Tabell2[[#This Row],[Kvinneandel]]&lt;=G$427,G$427,IF(Tabell2[[#This Row],[Kvinneandel]]&gt;=G$428,G$428,Tabell2[[#This Row],[Kvinneandel]]))</f>
        <v>0.10726764500349406</v>
      </c>
      <c r="Q243" s="32">
        <f>IF(Tabell2[[#This Row],[Eldreandel]]&lt;=H$427,H$427,IF(Tabell2[[#This Row],[Eldreandel]]&gt;=H$428,H$428,Tabell2[[#This Row],[Eldreandel]]))</f>
        <v>0.18902865129280225</v>
      </c>
      <c r="R243" s="32">
        <f>IF(Tabell2[[#This Row],[Sysselsettingsvekst10]]&lt;=I$427,I$427,IF(Tabell2[[#This Row],[Sysselsettingsvekst10]]&gt;=I$428,I$428,Tabell2[[#This Row],[Sysselsettingsvekst10]]))</f>
        <v>0.14346712211784807</v>
      </c>
      <c r="S243" s="32">
        <f>IF(Tabell2[[#This Row],[Yrkesaktivandel]]&lt;=J$427,J$427,IF(Tabell2[[#This Row],[Yrkesaktivandel]]&gt;=J$428,J$428,Tabell2[[#This Row],[Yrkesaktivandel]]))</f>
        <v>0.92597026588718434</v>
      </c>
      <c r="T243" s="67">
        <f>IF(Tabell2[[#This Row],[Inntekt]]&lt;=K$427,K$427,IF(Tabell2[[#This Row],[Inntekt]]&gt;=K$428,K$428,Tabell2[[#This Row],[Inntekt]]))</f>
        <v>377800</v>
      </c>
      <c r="U243" s="10">
        <f>IF(Tabell2[[#This Row],[NIBR11-T]]&lt;=L$430,100,IF(Tabell2[[#This Row],[NIBR11-T]]&gt;=L$429,0,100*(L$429-Tabell2[[#This Row],[NIBR11-T]])/L$432))</f>
        <v>50</v>
      </c>
      <c r="V243" s="10">
        <f>(M$429-Tabell2[[#This Row],[ReisetidOslo-T]])*100/M$432</f>
        <v>45.081269206560783</v>
      </c>
      <c r="W243" s="10">
        <f>100-(N$429-Tabell2[[#This Row],[Beftettotal-T]])*100/N$432</f>
        <v>4.1930466168599025</v>
      </c>
      <c r="X243" s="10">
        <f>100-(O$429-Tabell2[[#This Row],[Befvekst10-T]])*100/O$432</f>
        <v>22.287906138873979</v>
      </c>
      <c r="Y243" s="10">
        <f>100-(P$429-Tabell2[[#This Row],[Kvinneandel-T]])*100/P$432</f>
        <v>45.829076720760717</v>
      </c>
      <c r="Z243" s="10">
        <f>(Q$429-Tabell2[[#This Row],[Eldreandel-T]])*100/Q$432</f>
        <v>36.676366054508399</v>
      </c>
      <c r="AA243" s="10">
        <f>100-(R$429-Tabell2[[#This Row],[Sysselsettingsvekst10-T]])*100/R$432</f>
        <v>87.554365037935426</v>
      </c>
      <c r="AB243" s="10">
        <f>100-(S$429-Tabell2[[#This Row],[Yrkesaktivandel-T]])*100/S$432</f>
        <v>100</v>
      </c>
      <c r="AC243" s="10">
        <f>100-(T$429-Tabell2[[#This Row],[Inntekt-T]])*100/T$432</f>
        <v>20.737531933799843</v>
      </c>
      <c r="AD24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44.339474646053844</v>
      </c>
    </row>
    <row r="244" spans="1:30" x14ac:dyDescent="0.25">
      <c r="A244" s="2" t="s">
        <v>238</v>
      </c>
      <c r="B244" s="2">
        <v>242</v>
      </c>
      <c r="C244">
        <f>'Rådata-K'!N243</f>
        <v>6</v>
      </c>
      <c r="D244" s="30">
        <f>'Rådata-K'!M243</f>
        <v>170.71875</v>
      </c>
      <c r="E244" s="32">
        <f>'Rådata-K'!O243</f>
        <v>5.0977965693857206</v>
      </c>
      <c r="F244" s="32">
        <f>'Rådata-K'!P243</f>
        <v>9.0842221404928258E-2</v>
      </c>
      <c r="G244" s="32">
        <f>'Rådata-K'!Q243</f>
        <v>0.11227242076871206</v>
      </c>
      <c r="H244" s="32">
        <f>'Rådata-K'!R243</f>
        <v>0.15913688469318948</v>
      </c>
      <c r="I244" s="32">
        <f>'Rådata-K'!S243</f>
        <v>1.0131712259371373E-3</v>
      </c>
      <c r="J244" s="32">
        <f>'Rådata-K'!T243</f>
        <v>0.93411330049261088</v>
      </c>
      <c r="K244" s="67">
        <f>'Rådata-K'!L243</f>
        <v>402900</v>
      </c>
      <c r="L244" s="18">
        <f>Tabell2[[#This Row],[NIBR11]]</f>
        <v>6</v>
      </c>
      <c r="M244" s="32">
        <f>IF(Tabell2[[#This Row],[ReisetidOslo]]&lt;=D$427,D$427,IF(Tabell2[[#This Row],[ReisetidOslo]]&gt;=D$428,D$428,Tabell2[[#This Row],[ReisetidOslo]]))</f>
        <v>170.71875</v>
      </c>
      <c r="N244" s="32">
        <f>IF(Tabell2[[#This Row],[Beftettotal]]&lt;=E$427,E$427,IF(Tabell2[[#This Row],[Beftettotal]]&gt;=E$428,E$428,Tabell2[[#This Row],[Beftettotal]]))</f>
        <v>5.0977965693857206</v>
      </c>
      <c r="O244" s="32">
        <f>IF(Tabell2[[#This Row],[Befvekst10]]&lt;=F$427,F$427,IF(Tabell2[[#This Row],[Befvekst10]]&gt;=F$428,F$428,Tabell2[[#This Row],[Befvekst10]]))</f>
        <v>9.0842221404928258E-2</v>
      </c>
      <c r="P244" s="32">
        <f>IF(Tabell2[[#This Row],[Kvinneandel]]&lt;=G$427,G$427,IF(Tabell2[[#This Row],[Kvinneandel]]&gt;=G$428,G$428,Tabell2[[#This Row],[Kvinneandel]]))</f>
        <v>0.11227242076871206</v>
      </c>
      <c r="Q244" s="32">
        <f>IF(Tabell2[[#This Row],[Eldreandel]]&lt;=H$427,H$427,IF(Tabell2[[#This Row],[Eldreandel]]&gt;=H$428,H$428,Tabell2[[#This Row],[Eldreandel]]))</f>
        <v>0.15913688469318948</v>
      </c>
      <c r="R244" s="32">
        <f>IF(Tabell2[[#This Row],[Sysselsettingsvekst10]]&lt;=I$427,I$427,IF(Tabell2[[#This Row],[Sysselsettingsvekst10]]&gt;=I$428,I$428,Tabell2[[#This Row],[Sysselsettingsvekst10]]))</f>
        <v>1.0131712259371373E-3</v>
      </c>
      <c r="S244" s="32">
        <f>IF(Tabell2[[#This Row],[Yrkesaktivandel]]&lt;=J$427,J$427,IF(Tabell2[[#This Row],[Yrkesaktivandel]]&gt;=J$428,J$428,Tabell2[[#This Row],[Yrkesaktivandel]]))</f>
        <v>0.92597026588718434</v>
      </c>
      <c r="T244" s="67">
        <f>IF(Tabell2[[#This Row],[Inntekt]]&lt;=K$427,K$427,IF(Tabell2[[#This Row],[Inntekt]]&gt;=K$428,K$428,Tabell2[[#This Row],[Inntekt]]))</f>
        <v>402900</v>
      </c>
      <c r="U244" s="10">
        <f>IF(Tabell2[[#This Row],[NIBR11-T]]&lt;=L$430,100,IF(Tabell2[[#This Row],[NIBR11-T]]&gt;=L$429,0,100*(L$429-Tabell2[[#This Row],[NIBR11-T]])/L$432))</f>
        <v>50</v>
      </c>
      <c r="V244" s="10">
        <f>(M$429-Tabell2[[#This Row],[ReisetidOslo-T]])*100/M$432</f>
        <v>49.981992534475047</v>
      </c>
      <c r="W244" s="10">
        <f>100-(N$429-Tabell2[[#This Row],[Beftettotal-T]])*100/N$432</f>
        <v>2.871181777445031</v>
      </c>
      <c r="X244" s="10">
        <f>100-(O$429-Tabell2[[#This Row],[Befvekst10-T]])*100/O$432</f>
        <v>62.62121236781627</v>
      </c>
      <c r="Y244" s="10">
        <f>100-(P$429-Tabell2[[#This Row],[Kvinneandel-T]])*100/P$432</f>
        <v>59.048206928757445</v>
      </c>
      <c r="Z244" s="10">
        <f>(Q$429-Tabell2[[#This Row],[Eldreandel-T]])*100/Q$432</f>
        <v>68.917992275093098</v>
      </c>
      <c r="AA244" s="10">
        <f>100-(R$429-Tabell2[[#This Row],[Sysselsettingsvekst10-T]])*100/R$432</f>
        <v>37.717685669485256</v>
      </c>
      <c r="AB244" s="10">
        <f>100-(S$429-Tabell2[[#This Row],[Yrkesaktivandel-T]])*100/S$432</f>
        <v>100</v>
      </c>
      <c r="AC244" s="10">
        <f>100-(T$429-Tabell2[[#This Row],[Inntekt-T]])*100/T$432</f>
        <v>48.617127624125288</v>
      </c>
      <c r="AD24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52.841351194308849</v>
      </c>
    </row>
    <row r="245" spans="1:30" x14ac:dyDescent="0.25">
      <c r="A245" s="2" t="s">
        <v>239</v>
      </c>
      <c r="B245" s="2">
        <v>243</v>
      </c>
      <c r="C245">
        <f>'Rådata-K'!N244</f>
        <v>6</v>
      </c>
      <c r="D245" s="30">
        <f>'Rådata-K'!M244</f>
        <v>193.625</v>
      </c>
      <c r="E245" s="32">
        <f>'Rådata-K'!O244</f>
        <v>4.5448447538271202</v>
      </c>
      <c r="F245" s="32">
        <f>'Rådata-K'!P244</f>
        <v>4.1325136612021751E-2</v>
      </c>
      <c r="G245" s="32">
        <f>'Rådata-K'!Q244</f>
        <v>0.10856018366677599</v>
      </c>
      <c r="H245" s="32">
        <f>'Rådata-K'!R244</f>
        <v>0.1607084289931125</v>
      </c>
      <c r="I245" s="32">
        <f>'Rådata-K'!S244</f>
        <v>1.2012012012011963E-2</v>
      </c>
      <c r="J245" s="32">
        <f>'Rådata-K'!T244</f>
        <v>0.94882600842865739</v>
      </c>
      <c r="K245" s="67">
        <f>'Rådata-K'!L244</f>
        <v>398600</v>
      </c>
      <c r="L245" s="18">
        <f>Tabell2[[#This Row],[NIBR11]]</f>
        <v>6</v>
      </c>
      <c r="M245" s="32">
        <f>IF(Tabell2[[#This Row],[ReisetidOslo]]&lt;=D$427,D$427,IF(Tabell2[[#This Row],[ReisetidOslo]]&gt;=D$428,D$428,Tabell2[[#This Row],[ReisetidOslo]]))</f>
        <v>193.625</v>
      </c>
      <c r="N245" s="32">
        <f>IF(Tabell2[[#This Row],[Beftettotal]]&lt;=E$427,E$427,IF(Tabell2[[#This Row],[Beftettotal]]&gt;=E$428,E$428,Tabell2[[#This Row],[Beftettotal]]))</f>
        <v>4.5448447538271202</v>
      </c>
      <c r="O245" s="32">
        <f>IF(Tabell2[[#This Row],[Befvekst10]]&lt;=F$427,F$427,IF(Tabell2[[#This Row],[Befvekst10]]&gt;=F$428,F$428,Tabell2[[#This Row],[Befvekst10]]))</f>
        <v>4.1325136612021751E-2</v>
      </c>
      <c r="P245" s="32">
        <f>IF(Tabell2[[#This Row],[Kvinneandel]]&lt;=G$427,G$427,IF(Tabell2[[#This Row],[Kvinneandel]]&gt;=G$428,G$428,Tabell2[[#This Row],[Kvinneandel]]))</f>
        <v>0.10856018366677599</v>
      </c>
      <c r="Q245" s="32">
        <f>IF(Tabell2[[#This Row],[Eldreandel]]&lt;=H$427,H$427,IF(Tabell2[[#This Row],[Eldreandel]]&gt;=H$428,H$428,Tabell2[[#This Row],[Eldreandel]]))</f>
        <v>0.1607084289931125</v>
      </c>
      <c r="R245" s="32">
        <f>IF(Tabell2[[#This Row],[Sysselsettingsvekst10]]&lt;=I$427,I$427,IF(Tabell2[[#This Row],[Sysselsettingsvekst10]]&gt;=I$428,I$428,Tabell2[[#This Row],[Sysselsettingsvekst10]]))</f>
        <v>1.2012012012011963E-2</v>
      </c>
      <c r="S245" s="32">
        <f>IF(Tabell2[[#This Row],[Yrkesaktivandel]]&lt;=J$427,J$427,IF(Tabell2[[#This Row],[Yrkesaktivandel]]&gt;=J$428,J$428,Tabell2[[#This Row],[Yrkesaktivandel]]))</f>
        <v>0.92597026588718434</v>
      </c>
      <c r="T245" s="67">
        <f>IF(Tabell2[[#This Row],[Inntekt]]&lt;=K$427,K$427,IF(Tabell2[[#This Row],[Inntekt]]&gt;=K$428,K$428,Tabell2[[#This Row],[Inntekt]]))</f>
        <v>398600</v>
      </c>
      <c r="U245" s="10">
        <f>IF(Tabell2[[#This Row],[NIBR11-T]]&lt;=L$430,100,IF(Tabell2[[#This Row],[NIBR11-T]]&gt;=L$429,0,100*(L$429-Tabell2[[#This Row],[NIBR11-T]])/L$432))</f>
        <v>50</v>
      </c>
      <c r="V245" s="10">
        <f>(M$429-Tabell2[[#This Row],[ReisetidOslo-T]])*100/M$432</f>
        <v>40.113228250515832</v>
      </c>
      <c r="W245" s="10">
        <f>100-(N$429-Tabell2[[#This Row],[Beftettotal-T]])*100/N$432</f>
        <v>2.4590635483006054</v>
      </c>
      <c r="X245" s="10">
        <f>100-(O$429-Tabell2[[#This Row],[Befvekst10-T]])*100/O$432</f>
        <v>41.290499816431051</v>
      </c>
      <c r="Y245" s="10">
        <f>100-(P$429-Tabell2[[#This Row],[Kvinneandel-T]])*100/P$432</f>
        <v>49.243063218924952</v>
      </c>
      <c r="Z245" s="10">
        <f>(Q$429-Tabell2[[#This Row],[Eldreandel-T]])*100/Q$432</f>
        <v>67.22290531064904</v>
      </c>
      <c r="AA245" s="10">
        <f>100-(R$429-Tabell2[[#This Row],[Sysselsettingsvekst10-T]])*100/R$432</f>
        <v>41.565565621204925</v>
      </c>
      <c r="AB245" s="10">
        <f>100-(S$429-Tabell2[[#This Row],[Yrkesaktivandel-T]])*100/S$432</f>
        <v>100</v>
      </c>
      <c r="AC245" s="10">
        <f>100-(T$429-Tabell2[[#This Row],[Inntekt-T]])*100/T$432</f>
        <v>43.840941908252802</v>
      </c>
      <c r="AD24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46.879278322592327</v>
      </c>
    </row>
    <row r="246" spans="1:30" x14ac:dyDescent="0.25">
      <c r="A246" s="2" t="s">
        <v>240</v>
      </c>
      <c r="B246" s="2">
        <v>244</v>
      </c>
      <c r="C246">
        <f>'Rådata-K'!N245</f>
        <v>6</v>
      </c>
      <c r="D246" s="30">
        <f>'Rådata-K'!M245</f>
        <v>172.875</v>
      </c>
      <c r="E246" s="32">
        <f>'Rådata-K'!O245</f>
        <v>22.206479806083781</v>
      </c>
      <c r="F246" s="32">
        <f>'Rådata-K'!P245</f>
        <v>0.13467073702573051</v>
      </c>
      <c r="G246" s="32">
        <f>'Rådata-K'!Q245</f>
        <v>0.13352294565300946</v>
      </c>
      <c r="H246" s="32">
        <f>'Rådata-K'!R245</f>
        <v>0.11023137827657775</v>
      </c>
      <c r="I246" s="32">
        <f>'Rådata-K'!S245</f>
        <v>8.4844258484425783E-2</v>
      </c>
      <c r="J246" s="32">
        <f>'Rådata-K'!T245</f>
        <v>0.91840950167828561</v>
      </c>
      <c r="K246" s="67">
        <f>'Rådata-K'!L245</f>
        <v>454300</v>
      </c>
      <c r="L246" s="18">
        <f>Tabell2[[#This Row],[NIBR11]]</f>
        <v>6</v>
      </c>
      <c r="M246" s="32">
        <f>IF(Tabell2[[#This Row],[ReisetidOslo]]&lt;=D$427,D$427,IF(Tabell2[[#This Row],[ReisetidOslo]]&gt;=D$428,D$428,Tabell2[[#This Row],[ReisetidOslo]]))</f>
        <v>172.875</v>
      </c>
      <c r="N246" s="32">
        <f>IF(Tabell2[[#This Row],[Beftettotal]]&lt;=E$427,E$427,IF(Tabell2[[#This Row],[Beftettotal]]&gt;=E$428,E$428,Tabell2[[#This Row],[Beftettotal]]))</f>
        <v>22.206479806083781</v>
      </c>
      <c r="O246" s="32">
        <f>IF(Tabell2[[#This Row],[Befvekst10]]&lt;=F$427,F$427,IF(Tabell2[[#This Row],[Befvekst10]]&gt;=F$428,F$428,Tabell2[[#This Row],[Befvekst10]]))</f>
        <v>0.13467073702573051</v>
      </c>
      <c r="P246" s="32">
        <f>IF(Tabell2[[#This Row],[Kvinneandel]]&lt;=G$427,G$427,IF(Tabell2[[#This Row],[Kvinneandel]]&gt;=G$428,G$428,Tabell2[[#This Row],[Kvinneandel]]))</f>
        <v>0.12777681011054584</v>
      </c>
      <c r="Q246" s="32">
        <f>IF(Tabell2[[#This Row],[Eldreandel]]&lt;=H$427,H$427,IF(Tabell2[[#This Row],[Eldreandel]]&gt;=H$428,H$428,Tabell2[[#This Row],[Eldreandel]]))</f>
        <v>0.13032022035982854</v>
      </c>
      <c r="R246" s="32">
        <f>IF(Tabell2[[#This Row],[Sysselsettingsvekst10]]&lt;=I$427,I$427,IF(Tabell2[[#This Row],[Sysselsettingsvekst10]]&gt;=I$428,I$428,Tabell2[[#This Row],[Sysselsettingsvekst10]]))</f>
        <v>8.4844258484425783E-2</v>
      </c>
      <c r="S246" s="32">
        <f>IF(Tabell2[[#This Row],[Yrkesaktivandel]]&lt;=J$427,J$427,IF(Tabell2[[#This Row],[Yrkesaktivandel]]&gt;=J$428,J$428,Tabell2[[#This Row],[Yrkesaktivandel]]))</f>
        <v>0.91840950167828561</v>
      </c>
      <c r="T246" s="67">
        <f>IF(Tabell2[[#This Row],[Inntekt]]&lt;=K$427,K$427,IF(Tabell2[[#This Row],[Inntekt]]&gt;=K$428,K$428,Tabell2[[#This Row],[Inntekt]]))</f>
        <v>449160</v>
      </c>
      <c r="U246" s="10">
        <f>IF(Tabell2[[#This Row],[NIBR11-T]]&lt;=L$430,100,IF(Tabell2[[#This Row],[NIBR11-T]]&gt;=L$429,0,100*(L$429-Tabell2[[#This Row],[NIBR11-T]])/L$432))</f>
        <v>50</v>
      </c>
      <c r="V246" s="10">
        <f>(M$429-Tabell2[[#This Row],[ReisetidOslo-T]])*100/M$432</f>
        <v>49.053009266271516</v>
      </c>
      <c r="W246" s="10">
        <f>100-(N$429-Tabell2[[#This Row],[Beftettotal-T]])*100/N$432</f>
        <v>15.622383672637739</v>
      </c>
      <c r="X246" s="10">
        <f>100-(O$429-Tabell2[[#This Row],[Befvekst10-T]])*100/O$432</f>
        <v>81.501432642721383</v>
      </c>
      <c r="Y246" s="10">
        <f>100-(P$429-Tabell2[[#This Row],[Kvinneandel-T]])*100/P$432</f>
        <v>100</v>
      </c>
      <c r="Z246" s="10">
        <f>(Q$429-Tabell2[[#This Row],[Eldreandel-T]])*100/Q$432</f>
        <v>100</v>
      </c>
      <c r="AA246" s="10">
        <f>100-(R$429-Tabell2[[#This Row],[Sysselsettingsvekst10-T]])*100/R$432</f>
        <v>67.045499960714594</v>
      </c>
      <c r="AB246" s="10">
        <f>100-(S$429-Tabell2[[#This Row],[Yrkesaktivandel-T]])*100/S$432</f>
        <v>94.135539665794326</v>
      </c>
      <c r="AC246" s="10">
        <f>100-(T$429-Tabell2[[#This Row],[Inntekt-T]])*100/T$432</f>
        <v>100</v>
      </c>
      <c r="AD24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68.885929785086091</v>
      </c>
    </row>
    <row r="247" spans="1:30" x14ac:dyDescent="0.25">
      <c r="A247" s="2" t="s">
        <v>241</v>
      </c>
      <c r="B247" s="2">
        <v>245</v>
      </c>
      <c r="C247">
        <f>'Rådata-K'!N246</f>
        <v>6</v>
      </c>
      <c r="D247" s="30">
        <f>'Rådata-K'!M246</f>
        <v>183.21875</v>
      </c>
      <c r="E247" s="32">
        <f>'Rådata-K'!O246</f>
        <v>7.7079217299520959</v>
      </c>
      <c r="F247" s="32">
        <f>'Rådata-K'!P246</f>
        <v>7.1482317531978978E-2</v>
      </c>
      <c r="G247" s="32">
        <f>'Rådata-K'!Q246</f>
        <v>0.10884831460674158</v>
      </c>
      <c r="H247" s="32">
        <f>'Rådata-K'!R246</f>
        <v>0.16678370786516855</v>
      </c>
      <c r="I247" s="32">
        <f>'Rådata-K'!S246</f>
        <v>-1.8691588785046731E-2</v>
      </c>
      <c r="J247" s="32">
        <f>'Rådata-K'!T246</f>
        <v>0.93521488133418862</v>
      </c>
      <c r="K247" s="67">
        <f>'Rådata-K'!L246</f>
        <v>415700</v>
      </c>
      <c r="L247" s="18">
        <f>Tabell2[[#This Row],[NIBR11]]</f>
        <v>6</v>
      </c>
      <c r="M247" s="32">
        <f>IF(Tabell2[[#This Row],[ReisetidOslo]]&lt;=D$427,D$427,IF(Tabell2[[#This Row],[ReisetidOslo]]&gt;=D$428,D$428,Tabell2[[#This Row],[ReisetidOslo]]))</f>
        <v>183.21875</v>
      </c>
      <c r="N247" s="32">
        <f>IF(Tabell2[[#This Row],[Beftettotal]]&lt;=E$427,E$427,IF(Tabell2[[#This Row],[Beftettotal]]&gt;=E$428,E$428,Tabell2[[#This Row],[Beftettotal]]))</f>
        <v>7.7079217299520959</v>
      </c>
      <c r="O247" s="32">
        <f>IF(Tabell2[[#This Row],[Befvekst10]]&lt;=F$427,F$427,IF(Tabell2[[#This Row],[Befvekst10]]&gt;=F$428,F$428,Tabell2[[#This Row],[Befvekst10]]))</f>
        <v>7.1482317531978978E-2</v>
      </c>
      <c r="P247" s="32">
        <f>IF(Tabell2[[#This Row],[Kvinneandel]]&lt;=G$427,G$427,IF(Tabell2[[#This Row],[Kvinneandel]]&gt;=G$428,G$428,Tabell2[[#This Row],[Kvinneandel]]))</f>
        <v>0.10884831460674158</v>
      </c>
      <c r="Q247" s="32">
        <f>IF(Tabell2[[#This Row],[Eldreandel]]&lt;=H$427,H$427,IF(Tabell2[[#This Row],[Eldreandel]]&gt;=H$428,H$428,Tabell2[[#This Row],[Eldreandel]]))</f>
        <v>0.16678370786516855</v>
      </c>
      <c r="R247" s="32">
        <f>IF(Tabell2[[#This Row],[Sysselsettingsvekst10]]&lt;=I$427,I$427,IF(Tabell2[[#This Row],[Sysselsettingsvekst10]]&gt;=I$428,I$428,Tabell2[[#This Row],[Sysselsettingsvekst10]]))</f>
        <v>-1.8691588785046731E-2</v>
      </c>
      <c r="S247" s="32">
        <f>IF(Tabell2[[#This Row],[Yrkesaktivandel]]&lt;=J$427,J$427,IF(Tabell2[[#This Row],[Yrkesaktivandel]]&gt;=J$428,J$428,Tabell2[[#This Row],[Yrkesaktivandel]]))</f>
        <v>0.92597026588718434</v>
      </c>
      <c r="T247" s="67">
        <f>IF(Tabell2[[#This Row],[Inntekt]]&lt;=K$427,K$427,IF(Tabell2[[#This Row],[Inntekt]]&gt;=K$428,K$428,Tabell2[[#This Row],[Inntekt]]))</f>
        <v>415700</v>
      </c>
      <c r="U247" s="10">
        <f>IF(Tabell2[[#This Row],[NIBR11-T]]&lt;=L$430,100,IF(Tabell2[[#This Row],[NIBR11-T]]&gt;=L$429,0,100*(L$429-Tabell2[[#This Row],[NIBR11-T]])/L$432))</f>
        <v>50</v>
      </c>
      <c r="V247" s="10">
        <f>(M$429-Tabell2[[#This Row],[ReisetidOslo-T]])*100/M$432</f>
        <v>44.59658228401981</v>
      </c>
      <c r="W247" s="10">
        <f>100-(N$429-Tabell2[[#This Row],[Beftettotal-T]])*100/N$432</f>
        <v>4.8165233583046358</v>
      </c>
      <c r="X247" s="10">
        <f>100-(O$429-Tabell2[[#This Row],[Befvekst10-T]])*100/O$432</f>
        <v>54.281453549956929</v>
      </c>
      <c r="Y247" s="10">
        <f>100-(P$429-Tabell2[[#This Row],[Kvinneandel-T]])*100/P$432</f>
        <v>50.004104390605036</v>
      </c>
      <c r="Z247" s="10">
        <f>(Q$429-Tabell2[[#This Row],[Eldreandel-T]])*100/Q$432</f>
        <v>60.670034976742961</v>
      </c>
      <c r="AA247" s="10">
        <f>100-(R$429-Tabell2[[#This Row],[Sysselsettingsvekst10-T]])*100/R$432</f>
        <v>30.824090928509733</v>
      </c>
      <c r="AB247" s="10">
        <f>100-(S$429-Tabell2[[#This Row],[Yrkesaktivandel-T]])*100/S$432</f>
        <v>100</v>
      </c>
      <c r="AC247" s="10">
        <f>100-(T$429-Tabell2[[#This Row],[Inntekt-T]])*100/T$432</f>
        <v>62.834610685327114</v>
      </c>
      <c r="AD24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50.69717840397491</v>
      </c>
    </row>
    <row r="248" spans="1:30" x14ac:dyDescent="0.25">
      <c r="A248" s="2" t="s">
        <v>242</v>
      </c>
      <c r="B248" s="2">
        <v>246</v>
      </c>
      <c r="C248">
        <f>'Rådata-K'!N247</f>
        <v>11</v>
      </c>
      <c r="D248" s="30">
        <f>'Rådata-K'!M247</f>
        <v>214.34375</v>
      </c>
      <c r="E248" s="32">
        <f>'Rådata-K'!O247</f>
        <v>4.6190790658581973</v>
      </c>
      <c r="F248" s="32">
        <f>'Rådata-K'!P247</f>
        <v>-2.1119592875318061E-2</v>
      </c>
      <c r="G248" s="32">
        <f>'Rådata-K'!Q247</f>
        <v>9.3839355341824804E-2</v>
      </c>
      <c r="H248" s="32">
        <f>'Rådata-K'!R247</f>
        <v>0.21965167663114116</v>
      </c>
      <c r="I248" s="32">
        <f>'Rådata-K'!S247</f>
        <v>6.3331222292584144E-4</v>
      </c>
      <c r="J248" s="32">
        <f>'Rådata-K'!T247</f>
        <v>0.87637637637637633</v>
      </c>
      <c r="K248" s="67">
        <f>'Rådata-K'!L247</f>
        <v>383800</v>
      </c>
      <c r="L248" s="18">
        <f>Tabell2[[#This Row],[NIBR11]]</f>
        <v>11</v>
      </c>
      <c r="M248" s="32">
        <f>IF(Tabell2[[#This Row],[ReisetidOslo]]&lt;=D$427,D$427,IF(Tabell2[[#This Row],[ReisetidOslo]]&gt;=D$428,D$428,Tabell2[[#This Row],[ReisetidOslo]]))</f>
        <v>214.34375</v>
      </c>
      <c r="N248" s="32">
        <f>IF(Tabell2[[#This Row],[Beftettotal]]&lt;=E$427,E$427,IF(Tabell2[[#This Row],[Beftettotal]]&gt;=E$428,E$428,Tabell2[[#This Row],[Beftettotal]]))</f>
        <v>4.6190790658581973</v>
      </c>
      <c r="O248" s="32">
        <f>IF(Tabell2[[#This Row],[Befvekst10]]&lt;=F$427,F$427,IF(Tabell2[[#This Row],[Befvekst10]]&gt;=F$428,F$428,Tabell2[[#This Row],[Befvekst10]]))</f>
        <v>-2.1119592875318061E-2</v>
      </c>
      <c r="P248" s="32">
        <f>IF(Tabell2[[#This Row],[Kvinneandel]]&lt;=G$427,G$427,IF(Tabell2[[#This Row],[Kvinneandel]]&gt;=G$428,G$428,Tabell2[[#This Row],[Kvinneandel]]))</f>
        <v>9.3839355341824804E-2</v>
      </c>
      <c r="Q248" s="32">
        <f>IF(Tabell2[[#This Row],[Eldreandel]]&lt;=H$427,H$427,IF(Tabell2[[#This Row],[Eldreandel]]&gt;=H$428,H$428,Tabell2[[#This Row],[Eldreandel]]))</f>
        <v>0.21965167663114116</v>
      </c>
      <c r="R248" s="32">
        <f>IF(Tabell2[[#This Row],[Sysselsettingsvekst10]]&lt;=I$427,I$427,IF(Tabell2[[#This Row],[Sysselsettingsvekst10]]&gt;=I$428,I$428,Tabell2[[#This Row],[Sysselsettingsvekst10]]))</f>
        <v>6.3331222292584144E-4</v>
      </c>
      <c r="S248" s="32">
        <f>IF(Tabell2[[#This Row],[Yrkesaktivandel]]&lt;=J$427,J$427,IF(Tabell2[[#This Row],[Yrkesaktivandel]]&gt;=J$428,J$428,Tabell2[[#This Row],[Yrkesaktivandel]]))</f>
        <v>0.87637637637637633</v>
      </c>
      <c r="T248" s="67">
        <f>IF(Tabell2[[#This Row],[Inntekt]]&lt;=K$427,K$427,IF(Tabell2[[#This Row],[Inntekt]]&gt;=K$428,K$428,Tabell2[[#This Row],[Inntekt]]))</f>
        <v>383800</v>
      </c>
      <c r="U248" s="10">
        <f>IF(Tabell2[[#This Row],[NIBR11-T]]&lt;=L$430,100,IF(Tabell2[[#This Row],[NIBR11-T]]&gt;=L$429,0,100*(L$429-Tabell2[[#This Row],[NIBR11-T]])/L$432))</f>
        <v>0</v>
      </c>
      <c r="V248" s="10">
        <f>(M$429-Tabell2[[#This Row],[ReisetidOslo-T]])*100/M$432</f>
        <v>31.186910760386283</v>
      </c>
      <c r="W248" s="10">
        <f>100-(N$429-Tabell2[[#This Row],[Beftettotal-T]])*100/N$432</f>
        <v>2.5143908161658857</v>
      </c>
      <c r="X248" s="10">
        <f>100-(O$429-Tabell2[[#This Row],[Befvekst10-T]])*100/O$432</f>
        <v>14.390883641242453</v>
      </c>
      <c r="Y248" s="10">
        <f>100-(P$429-Tabell2[[#This Row],[Kvinneandel-T]])*100/P$432</f>
        <v>10.36089236334027</v>
      </c>
      <c r="Z248" s="10">
        <f>(Q$429-Tabell2[[#This Row],[Eldreandel-T]])*100/Q$432</f>
        <v>3.645995185929225</v>
      </c>
      <c r="AA248" s="10">
        <f>100-(R$429-Tabell2[[#This Row],[Sysselsettingsvekst10-T]])*100/R$432</f>
        <v>37.584794224777923</v>
      </c>
      <c r="AB248" s="10">
        <f>100-(S$429-Tabell2[[#This Row],[Yrkesaktivandel-T]])*100/S$432</f>
        <v>61.532804116176074</v>
      </c>
      <c r="AC248" s="10">
        <f>100-(T$429-Tabell2[[#This Row],[Inntekt-T]])*100/T$432</f>
        <v>27.401977118738202</v>
      </c>
      <c r="AD24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19.6006088093364</v>
      </c>
    </row>
    <row r="249" spans="1:30" x14ac:dyDescent="0.25">
      <c r="A249" s="2" t="s">
        <v>243</v>
      </c>
      <c r="B249" s="2">
        <v>247</v>
      </c>
      <c r="C249">
        <f>'Rådata-K'!N248</f>
        <v>9</v>
      </c>
      <c r="D249" s="30">
        <f>'Rådata-K'!M248</f>
        <v>224.28125</v>
      </c>
      <c r="E249" s="32">
        <f>'Rådata-K'!O248</f>
        <v>34.133227686909279</v>
      </c>
      <c r="F249" s="32">
        <f>'Rådata-K'!P248</f>
        <v>-5.4419525065962926E-3</v>
      </c>
      <c r="G249" s="32">
        <f>'Rådata-K'!Q248</f>
        <v>9.9983419001823906E-2</v>
      </c>
      <c r="H249" s="32">
        <f>'Rådata-K'!R248</f>
        <v>0.17691925053888244</v>
      </c>
      <c r="I249" s="32">
        <f>'Rådata-K'!S248</f>
        <v>5.4960248876598783E-2</v>
      </c>
      <c r="J249" s="32">
        <f>'Rådata-K'!T248</f>
        <v>0.89229843561973521</v>
      </c>
      <c r="K249" s="67">
        <f>'Rådata-K'!L248</f>
        <v>415300</v>
      </c>
      <c r="L249" s="18">
        <f>Tabell2[[#This Row],[NIBR11]]</f>
        <v>9</v>
      </c>
      <c r="M249" s="32">
        <f>IF(Tabell2[[#This Row],[ReisetidOslo]]&lt;=D$427,D$427,IF(Tabell2[[#This Row],[ReisetidOslo]]&gt;=D$428,D$428,Tabell2[[#This Row],[ReisetidOslo]]))</f>
        <v>224.28125</v>
      </c>
      <c r="N249" s="32">
        <f>IF(Tabell2[[#This Row],[Beftettotal]]&lt;=E$427,E$427,IF(Tabell2[[#This Row],[Beftettotal]]&gt;=E$428,E$428,Tabell2[[#This Row],[Beftettotal]]))</f>
        <v>34.133227686909279</v>
      </c>
      <c r="O249" s="32">
        <f>IF(Tabell2[[#This Row],[Befvekst10]]&lt;=F$427,F$427,IF(Tabell2[[#This Row],[Befvekst10]]&gt;=F$428,F$428,Tabell2[[#This Row],[Befvekst10]]))</f>
        <v>-5.4419525065962926E-3</v>
      </c>
      <c r="P249" s="32">
        <f>IF(Tabell2[[#This Row],[Kvinneandel]]&lt;=G$427,G$427,IF(Tabell2[[#This Row],[Kvinneandel]]&gt;=G$428,G$428,Tabell2[[#This Row],[Kvinneandel]]))</f>
        <v>9.9983419001823906E-2</v>
      </c>
      <c r="Q249" s="32">
        <f>IF(Tabell2[[#This Row],[Eldreandel]]&lt;=H$427,H$427,IF(Tabell2[[#This Row],[Eldreandel]]&gt;=H$428,H$428,Tabell2[[#This Row],[Eldreandel]]))</f>
        <v>0.17691925053888244</v>
      </c>
      <c r="R249" s="32">
        <f>IF(Tabell2[[#This Row],[Sysselsettingsvekst10]]&lt;=I$427,I$427,IF(Tabell2[[#This Row],[Sysselsettingsvekst10]]&gt;=I$428,I$428,Tabell2[[#This Row],[Sysselsettingsvekst10]]))</f>
        <v>5.4960248876598783E-2</v>
      </c>
      <c r="S249" s="32">
        <f>IF(Tabell2[[#This Row],[Yrkesaktivandel]]&lt;=J$427,J$427,IF(Tabell2[[#This Row],[Yrkesaktivandel]]&gt;=J$428,J$428,Tabell2[[#This Row],[Yrkesaktivandel]]))</f>
        <v>0.89229843561973521</v>
      </c>
      <c r="T249" s="67">
        <f>IF(Tabell2[[#This Row],[Inntekt]]&lt;=K$427,K$427,IF(Tabell2[[#This Row],[Inntekt]]&gt;=K$428,K$428,Tabell2[[#This Row],[Inntekt]]))</f>
        <v>415300</v>
      </c>
      <c r="U249" s="10">
        <f>IF(Tabell2[[#This Row],[NIBR11-T]]&lt;=L$430,100,IF(Tabell2[[#This Row],[NIBR11-T]]&gt;=L$429,0,100*(L$429-Tabell2[[#This Row],[NIBR11-T]])/L$432))</f>
        <v>20</v>
      </c>
      <c r="V249" s="10">
        <f>(M$429-Tabell2[[#This Row],[ReisetidOslo-T]])*100/M$432</f>
        <v>26.905509611274372</v>
      </c>
      <c r="W249" s="10">
        <f>100-(N$429-Tabell2[[#This Row],[Beftettotal-T]])*100/N$432</f>
        <v>24.511458774294638</v>
      </c>
      <c r="X249" s="10">
        <f>100-(O$429-Tabell2[[#This Row],[Befvekst10-T]])*100/O$432</f>
        <v>21.144416115696657</v>
      </c>
      <c r="Y249" s="10">
        <f>100-(P$429-Tabell2[[#This Row],[Kvinneandel-T]])*100/P$432</f>
        <v>26.589227325358536</v>
      </c>
      <c r="Z249" s="10">
        <f>(Q$429-Tabell2[[#This Row],[Eldreandel-T]])*100/Q$432</f>
        <v>49.737714287710737</v>
      </c>
      <c r="AA249" s="10">
        <f>100-(R$429-Tabell2[[#This Row],[Sysselsettingsvekst10-T]])*100/R$432</f>
        <v>56.590754439482943</v>
      </c>
      <c r="AB249" s="10">
        <f>100-(S$429-Tabell2[[#This Row],[Yrkesaktivandel-T]])*100/S$432</f>
        <v>73.882651604033583</v>
      </c>
      <c r="AC249" s="10">
        <f>100-(T$429-Tabell2[[#This Row],[Inntekt-T]])*100/T$432</f>
        <v>62.390314339664556</v>
      </c>
      <c r="AD24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36.473299180667809</v>
      </c>
    </row>
    <row r="250" spans="1:30" x14ac:dyDescent="0.25">
      <c r="A250" s="2" t="s">
        <v>244</v>
      </c>
      <c r="B250" s="2">
        <v>248</v>
      </c>
      <c r="C250">
        <f>'Rådata-K'!N249</f>
        <v>9</v>
      </c>
      <c r="D250" s="30">
        <f>'Rådata-K'!M249</f>
        <v>230.4375</v>
      </c>
      <c r="E250" s="32">
        <f>'Rådata-K'!O249</f>
        <v>12.343003714841677</v>
      </c>
      <c r="F250" s="32">
        <f>'Rådata-K'!P249</f>
        <v>-4.1222947440742064E-2</v>
      </c>
      <c r="G250" s="32">
        <f>'Rådata-K'!Q249</f>
        <v>0.10211393765675385</v>
      </c>
      <c r="H250" s="32">
        <f>'Rådata-K'!R249</f>
        <v>0.19634539591544251</v>
      </c>
      <c r="I250" s="32">
        <f>'Rådata-K'!S249</f>
        <v>-1.3297872340425565E-2</v>
      </c>
      <c r="J250" s="32">
        <f>'Rådata-K'!T249</f>
        <v>0.88896103896103895</v>
      </c>
      <c r="K250" s="67">
        <f>'Rådata-K'!L249</f>
        <v>401300</v>
      </c>
      <c r="L250" s="18">
        <f>Tabell2[[#This Row],[NIBR11]]</f>
        <v>9</v>
      </c>
      <c r="M250" s="32">
        <f>IF(Tabell2[[#This Row],[ReisetidOslo]]&lt;=D$427,D$427,IF(Tabell2[[#This Row],[ReisetidOslo]]&gt;=D$428,D$428,Tabell2[[#This Row],[ReisetidOslo]]))</f>
        <v>230.4375</v>
      </c>
      <c r="N250" s="32">
        <f>IF(Tabell2[[#This Row],[Beftettotal]]&lt;=E$427,E$427,IF(Tabell2[[#This Row],[Beftettotal]]&gt;=E$428,E$428,Tabell2[[#This Row],[Beftettotal]]))</f>
        <v>12.343003714841677</v>
      </c>
      <c r="O250" s="32">
        <f>IF(Tabell2[[#This Row],[Befvekst10]]&lt;=F$427,F$427,IF(Tabell2[[#This Row],[Befvekst10]]&gt;=F$428,F$428,Tabell2[[#This Row],[Befvekst10]]))</f>
        <v>-4.1222947440742064E-2</v>
      </c>
      <c r="P250" s="32">
        <f>IF(Tabell2[[#This Row],[Kvinneandel]]&lt;=G$427,G$427,IF(Tabell2[[#This Row],[Kvinneandel]]&gt;=G$428,G$428,Tabell2[[#This Row],[Kvinneandel]]))</f>
        <v>0.10211393765675385</v>
      </c>
      <c r="Q250" s="32">
        <f>IF(Tabell2[[#This Row],[Eldreandel]]&lt;=H$427,H$427,IF(Tabell2[[#This Row],[Eldreandel]]&gt;=H$428,H$428,Tabell2[[#This Row],[Eldreandel]]))</f>
        <v>0.19634539591544251</v>
      </c>
      <c r="R250" s="32">
        <f>IF(Tabell2[[#This Row],[Sysselsettingsvekst10]]&lt;=I$427,I$427,IF(Tabell2[[#This Row],[Sysselsettingsvekst10]]&gt;=I$428,I$428,Tabell2[[#This Row],[Sysselsettingsvekst10]]))</f>
        <v>-1.3297872340425565E-2</v>
      </c>
      <c r="S250" s="32">
        <f>IF(Tabell2[[#This Row],[Yrkesaktivandel]]&lt;=J$427,J$427,IF(Tabell2[[#This Row],[Yrkesaktivandel]]&gt;=J$428,J$428,Tabell2[[#This Row],[Yrkesaktivandel]]))</f>
        <v>0.88896103896103895</v>
      </c>
      <c r="T250" s="67">
        <f>IF(Tabell2[[#This Row],[Inntekt]]&lt;=K$427,K$427,IF(Tabell2[[#This Row],[Inntekt]]&gt;=K$428,K$428,Tabell2[[#This Row],[Inntekt]]))</f>
        <v>401300</v>
      </c>
      <c r="U250" s="10">
        <f>IF(Tabell2[[#This Row],[NIBR11-T]]&lt;=L$430,100,IF(Tabell2[[#This Row],[NIBR11-T]]&gt;=L$429,0,100*(L$429-Tabell2[[#This Row],[NIBR11-T]])/L$432))</f>
        <v>20</v>
      </c>
      <c r="V250" s="10">
        <f>(M$429-Tabell2[[#This Row],[ReisetidOslo-T]])*100/M$432</f>
        <v>24.253195062925169</v>
      </c>
      <c r="W250" s="10">
        <f>100-(N$429-Tabell2[[#This Row],[Beftettotal-T]])*100/N$432</f>
        <v>8.2710771291829275</v>
      </c>
      <c r="X250" s="10">
        <f>100-(O$429-Tabell2[[#This Row],[Befvekst10-T]])*100/O$432</f>
        <v>5.7308649962218396</v>
      </c>
      <c r="Y250" s="10">
        <f>100-(P$429-Tabell2[[#This Row],[Kvinneandel-T]])*100/P$432</f>
        <v>32.216573050978312</v>
      </c>
      <c r="Z250" s="10">
        <f>(Q$429-Tabell2[[#This Row],[Eldreandel-T]])*100/Q$432</f>
        <v>28.784435529475591</v>
      </c>
      <c r="AA250" s="10">
        <f>100-(R$429-Tabell2[[#This Row],[Sysselsettingsvekst10-T]])*100/R$432</f>
        <v>32.71105099786493</v>
      </c>
      <c r="AB250" s="10">
        <f>100-(S$429-Tabell2[[#This Row],[Yrkesaktivandel-T]])*100/S$432</f>
        <v>71.294020377920319</v>
      </c>
      <c r="AC250" s="10">
        <f>100-(T$429-Tabell2[[#This Row],[Inntekt-T]])*100/T$432</f>
        <v>46.839942241475065</v>
      </c>
      <c r="AD25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26.533152009203906</v>
      </c>
    </row>
    <row r="251" spans="1:30" x14ac:dyDescent="0.25">
      <c r="A251" s="2" t="s">
        <v>245</v>
      </c>
      <c r="B251" s="2">
        <v>249</v>
      </c>
      <c r="C251">
        <f>'Rådata-K'!N250</f>
        <v>8</v>
      </c>
      <c r="D251" s="30">
        <f>'Rådata-K'!M250</f>
        <v>179.5</v>
      </c>
      <c r="E251" s="32">
        <f>'Rådata-K'!O250</f>
        <v>12.923575295170709</v>
      </c>
      <c r="F251" s="32">
        <f>'Rådata-K'!P250</f>
        <v>3.6935704514363898E-2</v>
      </c>
      <c r="G251" s="32">
        <f>'Rådata-K'!Q250</f>
        <v>0.10982849604221635</v>
      </c>
      <c r="H251" s="32">
        <f>'Rådata-K'!R250</f>
        <v>0.16094986807387862</v>
      </c>
      <c r="I251" s="32">
        <f>'Rådata-K'!S250</f>
        <v>9.4405594405595483E-3</v>
      </c>
      <c r="J251" s="32">
        <f>'Rådata-K'!T250</f>
        <v>0.92025089605734767</v>
      </c>
      <c r="K251" s="67">
        <f>'Rådata-K'!L250</f>
        <v>396100</v>
      </c>
      <c r="L251" s="18">
        <f>Tabell2[[#This Row],[NIBR11]]</f>
        <v>8</v>
      </c>
      <c r="M251" s="32">
        <f>IF(Tabell2[[#This Row],[ReisetidOslo]]&lt;=D$427,D$427,IF(Tabell2[[#This Row],[ReisetidOslo]]&gt;=D$428,D$428,Tabell2[[#This Row],[ReisetidOslo]]))</f>
        <v>179.5</v>
      </c>
      <c r="N251" s="32">
        <f>IF(Tabell2[[#This Row],[Beftettotal]]&lt;=E$427,E$427,IF(Tabell2[[#This Row],[Beftettotal]]&gt;=E$428,E$428,Tabell2[[#This Row],[Beftettotal]]))</f>
        <v>12.923575295170709</v>
      </c>
      <c r="O251" s="32">
        <f>IF(Tabell2[[#This Row],[Befvekst10]]&lt;=F$427,F$427,IF(Tabell2[[#This Row],[Befvekst10]]&gt;=F$428,F$428,Tabell2[[#This Row],[Befvekst10]]))</f>
        <v>3.6935704514363898E-2</v>
      </c>
      <c r="P251" s="32">
        <f>IF(Tabell2[[#This Row],[Kvinneandel]]&lt;=G$427,G$427,IF(Tabell2[[#This Row],[Kvinneandel]]&gt;=G$428,G$428,Tabell2[[#This Row],[Kvinneandel]]))</f>
        <v>0.10982849604221635</v>
      </c>
      <c r="Q251" s="32">
        <f>IF(Tabell2[[#This Row],[Eldreandel]]&lt;=H$427,H$427,IF(Tabell2[[#This Row],[Eldreandel]]&gt;=H$428,H$428,Tabell2[[#This Row],[Eldreandel]]))</f>
        <v>0.16094986807387862</v>
      </c>
      <c r="R251" s="32">
        <f>IF(Tabell2[[#This Row],[Sysselsettingsvekst10]]&lt;=I$427,I$427,IF(Tabell2[[#This Row],[Sysselsettingsvekst10]]&gt;=I$428,I$428,Tabell2[[#This Row],[Sysselsettingsvekst10]]))</f>
        <v>9.4405594405595483E-3</v>
      </c>
      <c r="S251" s="32">
        <f>IF(Tabell2[[#This Row],[Yrkesaktivandel]]&lt;=J$427,J$427,IF(Tabell2[[#This Row],[Yrkesaktivandel]]&gt;=J$428,J$428,Tabell2[[#This Row],[Yrkesaktivandel]]))</f>
        <v>0.92025089605734767</v>
      </c>
      <c r="T251" s="67">
        <f>IF(Tabell2[[#This Row],[Inntekt]]&lt;=K$427,K$427,IF(Tabell2[[#This Row],[Inntekt]]&gt;=K$428,K$428,Tabell2[[#This Row],[Inntekt]]))</f>
        <v>396100</v>
      </c>
      <c r="U251" s="10">
        <f>IF(Tabell2[[#This Row],[NIBR11-T]]&lt;=L$430,100,IF(Tabell2[[#This Row],[NIBR11-T]]&gt;=L$429,0,100*(L$429-Tabell2[[#This Row],[NIBR11-T]])/L$432))</f>
        <v>30</v>
      </c>
      <c r="V251" s="10">
        <f>(M$429-Tabell2[[#This Row],[ReisetidOslo-T]])*100/M$432</f>
        <v>46.198741833530242</v>
      </c>
      <c r="W251" s="10">
        <f>100-(N$429-Tabell2[[#This Row],[Beftettotal-T]])*100/N$432</f>
        <v>8.7037805308981007</v>
      </c>
      <c r="X251" s="10">
        <f>100-(O$429-Tabell2[[#This Row],[Befvekst10-T]])*100/O$432</f>
        <v>39.399643060009552</v>
      </c>
      <c r="Y251" s="10">
        <f>100-(P$429-Tabell2[[#This Row],[Kvinneandel-T]])*100/P$432</f>
        <v>52.593060745663202</v>
      </c>
      <c r="Z251" s="10">
        <f>(Q$429-Tabell2[[#This Row],[Eldreandel-T]])*100/Q$432</f>
        <v>66.962486155723468</v>
      </c>
      <c r="AA251" s="10">
        <f>100-(R$429-Tabell2[[#This Row],[Sysselsettingsvekst10-T]])*100/R$432</f>
        <v>40.665958018100348</v>
      </c>
      <c r="AB251" s="10">
        <f>100-(S$429-Tabell2[[#This Row],[Yrkesaktivandel-T]])*100/S$432</f>
        <v>95.563805909427344</v>
      </c>
      <c r="AC251" s="10">
        <f>100-(T$429-Tabell2[[#This Row],[Inntekt-T]])*100/T$432</f>
        <v>41.064089747861821</v>
      </c>
      <c r="AD25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43.077343561053034</v>
      </c>
    </row>
    <row r="252" spans="1:30" x14ac:dyDescent="0.25">
      <c r="A252" s="2" t="s">
        <v>246</v>
      </c>
      <c r="B252" s="2">
        <v>250</v>
      </c>
      <c r="C252">
        <f>'Rådata-K'!N251</f>
        <v>8</v>
      </c>
      <c r="D252" s="30">
        <f>'Rådata-K'!M251</f>
        <v>193.6875</v>
      </c>
      <c r="E252" s="32">
        <f>'Rådata-K'!O251</f>
        <v>6.252609603340292</v>
      </c>
      <c r="F252" s="32">
        <f>'Rådata-K'!P251</f>
        <v>-2.4979184013321776E-3</v>
      </c>
      <c r="G252" s="32">
        <f>'Rådata-K'!Q251</f>
        <v>0.10767946577629382</v>
      </c>
      <c r="H252" s="32">
        <f>'Rådata-K'!R251</f>
        <v>0.18196994991652754</v>
      </c>
      <c r="I252" s="32">
        <f>'Rådata-K'!S251</f>
        <v>-0.12761506276150625</v>
      </c>
      <c r="J252" s="32">
        <f>'Rådata-K'!T251</f>
        <v>0.98755832037325042</v>
      </c>
      <c r="K252" s="67">
        <f>'Rådata-K'!L251</f>
        <v>364200</v>
      </c>
      <c r="L252" s="18">
        <f>Tabell2[[#This Row],[NIBR11]]</f>
        <v>8</v>
      </c>
      <c r="M252" s="32">
        <f>IF(Tabell2[[#This Row],[ReisetidOslo]]&lt;=D$427,D$427,IF(Tabell2[[#This Row],[ReisetidOslo]]&gt;=D$428,D$428,Tabell2[[#This Row],[ReisetidOslo]]))</f>
        <v>193.6875</v>
      </c>
      <c r="N252" s="32">
        <f>IF(Tabell2[[#This Row],[Beftettotal]]&lt;=E$427,E$427,IF(Tabell2[[#This Row],[Beftettotal]]&gt;=E$428,E$428,Tabell2[[#This Row],[Beftettotal]]))</f>
        <v>6.252609603340292</v>
      </c>
      <c r="O252" s="32">
        <f>IF(Tabell2[[#This Row],[Befvekst10]]&lt;=F$427,F$427,IF(Tabell2[[#This Row],[Befvekst10]]&gt;=F$428,F$428,Tabell2[[#This Row],[Befvekst10]]))</f>
        <v>-2.4979184013321776E-3</v>
      </c>
      <c r="P252" s="32">
        <f>IF(Tabell2[[#This Row],[Kvinneandel]]&lt;=G$427,G$427,IF(Tabell2[[#This Row],[Kvinneandel]]&gt;=G$428,G$428,Tabell2[[#This Row],[Kvinneandel]]))</f>
        <v>0.10767946577629382</v>
      </c>
      <c r="Q252" s="32">
        <f>IF(Tabell2[[#This Row],[Eldreandel]]&lt;=H$427,H$427,IF(Tabell2[[#This Row],[Eldreandel]]&gt;=H$428,H$428,Tabell2[[#This Row],[Eldreandel]]))</f>
        <v>0.18196994991652754</v>
      </c>
      <c r="R252" s="32">
        <f>IF(Tabell2[[#This Row],[Sysselsettingsvekst10]]&lt;=I$427,I$427,IF(Tabell2[[#This Row],[Sysselsettingsvekst10]]&gt;=I$428,I$428,Tabell2[[#This Row],[Sysselsettingsvekst10]]))</f>
        <v>-0.10679965679965678</v>
      </c>
      <c r="S252" s="32">
        <f>IF(Tabell2[[#This Row],[Yrkesaktivandel]]&lt;=J$427,J$427,IF(Tabell2[[#This Row],[Yrkesaktivandel]]&gt;=J$428,J$428,Tabell2[[#This Row],[Yrkesaktivandel]]))</f>
        <v>0.92597026588718434</v>
      </c>
      <c r="T252" s="67">
        <f>IF(Tabell2[[#This Row],[Inntekt]]&lt;=K$427,K$427,IF(Tabell2[[#This Row],[Inntekt]]&gt;=K$428,K$428,Tabell2[[#This Row],[Inntekt]]))</f>
        <v>364200</v>
      </c>
      <c r="U252" s="10">
        <f>IF(Tabell2[[#This Row],[NIBR11-T]]&lt;=L$430,100,IF(Tabell2[[#This Row],[NIBR11-T]]&gt;=L$429,0,100*(L$429-Tabell2[[#This Row],[NIBR11-T]])/L$432))</f>
        <v>30</v>
      </c>
      <c r="V252" s="10">
        <f>(M$429-Tabell2[[#This Row],[ReisetidOslo-T]])*100/M$432</f>
        <v>40.086301199263552</v>
      </c>
      <c r="W252" s="10">
        <f>100-(N$429-Tabell2[[#This Row],[Beftettotal-T]])*100/N$432</f>
        <v>3.7318707003405933</v>
      </c>
      <c r="X252" s="10">
        <f>100-(O$429-Tabell2[[#This Row],[Befvekst10-T]])*100/O$432</f>
        <v>22.412631833635288</v>
      </c>
      <c r="Y252" s="10">
        <f>100-(P$429-Tabell2[[#This Row],[Kvinneandel-T]])*100/P$432</f>
        <v>46.916820242824542</v>
      </c>
      <c r="Z252" s="10">
        <f>(Q$429-Tabell2[[#This Row],[Eldreandel-T]])*100/Q$432</f>
        <v>44.289967967870197</v>
      </c>
      <c r="AA252" s="10">
        <f>100-(R$429-Tabell2[[#This Row],[Sysselsettingsvekst10-T]])*100/R$432</f>
        <v>0</v>
      </c>
      <c r="AB252" s="10">
        <f>100-(S$429-Tabell2[[#This Row],[Yrkesaktivandel-T]])*100/S$432</f>
        <v>100</v>
      </c>
      <c r="AC252" s="10">
        <f>100-(T$429-Tabell2[[#This Row],[Inntekt-T]])*100/T$432</f>
        <v>5.6314561812729096</v>
      </c>
      <c r="AD25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29.987828585349501</v>
      </c>
    </row>
    <row r="253" spans="1:30" x14ac:dyDescent="0.25">
      <c r="A253" s="2" t="s">
        <v>247</v>
      </c>
      <c r="B253" s="2">
        <v>251</v>
      </c>
      <c r="C253">
        <f>'Rådata-K'!N252</f>
        <v>9</v>
      </c>
      <c r="D253" s="30">
        <f>'Rådata-K'!M252</f>
        <v>165.9375</v>
      </c>
      <c r="E253" s="32">
        <f>'Rådata-K'!O252</f>
        <v>5.6117844562401142</v>
      </c>
      <c r="F253" s="32">
        <f>'Rådata-K'!P252</f>
        <v>1.0484011881880084E-2</v>
      </c>
      <c r="G253" s="32">
        <f>'Rådata-K'!Q252</f>
        <v>0.10634618710012105</v>
      </c>
      <c r="H253" s="32">
        <f>'Rådata-K'!R252</f>
        <v>0.18779180356216496</v>
      </c>
      <c r="I253" s="32">
        <f>'Rådata-K'!S252</f>
        <v>2.1965748324646261E-2</v>
      </c>
      <c r="J253" s="32">
        <f>'Rådata-K'!T252</f>
        <v>0.95272020725388606</v>
      </c>
      <c r="K253" s="67">
        <f>'Rådata-K'!L252</f>
        <v>400800</v>
      </c>
      <c r="L253" s="18">
        <f>Tabell2[[#This Row],[NIBR11]]</f>
        <v>9</v>
      </c>
      <c r="M253" s="32">
        <f>IF(Tabell2[[#This Row],[ReisetidOslo]]&lt;=D$427,D$427,IF(Tabell2[[#This Row],[ReisetidOslo]]&gt;=D$428,D$428,Tabell2[[#This Row],[ReisetidOslo]]))</f>
        <v>165.9375</v>
      </c>
      <c r="N253" s="32">
        <f>IF(Tabell2[[#This Row],[Beftettotal]]&lt;=E$427,E$427,IF(Tabell2[[#This Row],[Beftettotal]]&gt;=E$428,E$428,Tabell2[[#This Row],[Beftettotal]]))</f>
        <v>5.6117844562401142</v>
      </c>
      <c r="O253" s="32">
        <f>IF(Tabell2[[#This Row],[Befvekst10]]&lt;=F$427,F$427,IF(Tabell2[[#This Row],[Befvekst10]]&gt;=F$428,F$428,Tabell2[[#This Row],[Befvekst10]]))</f>
        <v>1.0484011881880084E-2</v>
      </c>
      <c r="P253" s="32">
        <f>IF(Tabell2[[#This Row],[Kvinneandel]]&lt;=G$427,G$427,IF(Tabell2[[#This Row],[Kvinneandel]]&gt;=G$428,G$428,Tabell2[[#This Row],[Kvinneandel]]))</f>
        <v>0.10634618710012105</v>
      </c>
      <c r="Q253" s="32">
        <f>IF(Tabell2[[#This Row],[Eldreandel]]&lt;=H$427,H$427,IF(Tabell2[[#This Row],[Eldreandel]]&gt;=H$428,H$428,Tabell2[[#This Row],[Eldreandel]]))</f>
        <v>0.18779180356216496</v>
      </c>
      <c r="R253" s="32">
        <f>IF(Tabell2[[#This Row],[Sysselsettingsvekst10]]&lt;=I$427,I$427,IF(Tabell2[[#This Row],[Sysselsettingsvekst10]]&gt;=I$428,I$428,Tabell2[[#This Row],[Sysselsettingsvekst10]]))</f>
        <v>2.1965748324646261E-2</v>
      </c>
      <c r="S253" s="32">
        <f>IF(Tabell2[[#This Row],[Yrkesaktivandel]]&lt;=J$427,J$427,IF(Tabell2[[#This Row],[Yrkesaktivandel]]&gt;=J$428,J$428,Tabell2[[#This Row],[Yrkesaktivandel]]))</f>
        <v>0.92597026588718434</v>
      </c>
      <c r="T253" s="67">
        <f>IF(Tabell2[[#This Row],[Inntekt]]&lt;=K$427,K$427,IF(Tabell2[[#This Row],[Inntekt]]&gt;=K$428,K$428,Tabell2[[#This Row],[Inntekt]]))</f>
        <v>400800</v>
      </c>
      <c r="U253" s="10">
        <f>IF(Tabell2[[#This Row],[NIBR11-T]]&lt;=L$430,100,IF(Tabell2[[#This Row],[NIBR11-T]]&gt;=L$429,0,100*(L$429-Tabell2[[#This Row],[NIBR11-T]])/L$432))</f>
        <v>20</v>
      </c>
      <c r="V253" s="10">
        <f>(M$429-Tabell2[[#This Row],[ReisetidOslo-T]])*100/M$432</f>
        <v>52.041911955274173</v>
      </c>
      <c r="W253" s="10">
        <f>100-(N$429-Tabell2[[#This Row],[Beftettotal-T]])*100/N$432</f>
        <v>3.2542599621475148</v>
      </c>
      <c r="X253" s="10">
        <f>100-(O$429-Tabell2[[#This Row],[Befvekst10-T]])*100/O$432</f>
        <v>28.004920321365333</v>
      </c>
      <c r="Y253" s="10">
        <f>100-(P$429-Tabell2[[#This Row],[Kvinneandel-T]])*100/P$432</f>
        <v>43.39522701853636</v>
      </c>
      <c r="Z253" s="10">
        <f>(Q$429-Tabell2[[#This Row],[Eldreandel-T]])*100/Q$432</f>
        <v>38.010445192658182</v>
      </c>
      <c r="AA253" s="10">
        <f>100-(R$429-Tabell2[[#This Row],[Sysselsettingsvekst10-T]])*100/R$432</f>
        <v>45.047821901392261</v>
      </c>
      <c r="AB253" s="10">
        <f>100-(S$429-Tabell2[[#This Row],[Yrkesaktivandel-T]])*100/S$432</f>
        <v>100</v>
      </c>
      <c r="AC253" s="10">
        <f>100-(T$429-Tabell2[[#This Row],[Inntekt-T]])*100/T$432</f>
        <v>46.284571809396866</v>
      </c>
      <c r="AD25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38.334124237653874</v>
      </c>
    </row>
    <row r="254" spans="1:30" x14ac:dyDescent="0.25">
      <c r="A254" s="2" t="s">
        <v>248</v>
      </c>
      <c r="B254" s="2">
        <v>252</v>
      </c>
      <c r="C254">
        <f>'Rådata-K'!N253</f>
        <v>8</v>
      </c>
      <c r="D254" s="30">
        <f>'Rådata-K'!M253</f>
        <v>207.90625</v>
      </c>
      <c r="E254" s="32">
        <f>'Rådata-K'!O253</f>
        <v>5.241030779619666</v>
      </c>
      <c r="F254" s="32">
        <f>'Rådata-K'!P253</f>
        <v>7.6349537727408379E-2</v>
      </c>
      <c r="G254" s="32">
        <f>'Rådata-K'!Q253</f>
        <v>0.10529232474369632</v>
      </c>
      <c r="H254" s="32">
        <f>'Rådata-K'!R253</f>
        <v>0.1633416458852868</v>
      </c>
      <c r="I254" s="32">
        <f>'Rådata-K'!S253</f>
        <v>6.4707468320301942E-3</v>
      </c>
      <c r="J254" s="32">
        <f>'Rådata-K'!T253</f>
        <v>0.94359103500377739</v>
      </c>
      <c r="K254" s="67">
        <f>'Rådata-K'!L253</f>
        <v>417900</v>
      </c>
      <c r="L254" s="18">
        <f>Tabell2[[#This Row],[NIBR11]]</f>
        <v>8</v>
      </c>
      <c r="M254" s="32">
        <f>IF(Tabell2[[#This Row],[ReisetidOslo]]&lt;=D$427,D$427,IF(Tabell2[[#This Row],[ReisetidOslo]]&gt;=D$428,D$428,Tabell2[[#This Row],[ReisetidOslo]]))</f>
        <v>207.90625</v>
      </c>
      <c r="N254" s="32">
        <f>IF(Tabell2[[#This Row],[Beftettotal]]&lt;=E$427,E$427,IF(Tabell2[[#This Row],[Beftettotal]]&gt;=E$428,E$428,Tabell2[[#This Row],[Beftettotal]]))</f>
        <v>5.241030779619666</v>
      </c>
      <c r="O254" s="32">
        <f>IF(Tabell2[[#This Row],[Befvekst10]]&lt;=F$427,F$427,IF(Tabell2[[#This Row],[Befvekst10]]&gt;=F$428,F$428,Tabell2[[#This Row],[Befvekst10]]))</f>
        <v>7.6349537727408379E-2</v>
      </c>
      <c r="P254" s="32">
        <f>IF(Tabell2[[#This Row],[Kvinneandel]]&lt;=G$427,G$427,IF(Tabell2[[#This Row],[Kvinneandel]]&gt;=G$428,G$428,Tabell2[[#This Row],[Kvinneandel]]))</f>
        <v>0.10529232474369632</v>
      </c>
      <c r="Q254" s="32">
        <f>IF(Tabell2[[#This Row],[Eldreandel]]&lt;=H$427,H$427,IF(Tabell2[[#This Row],[Eldreandel]]&gt;=H$428,H$428,Tabell2[[#This Row],[Eldreandel]]))</f>
        <v>0.1633416458852868</v>
      </c>
      <c r="R254" s="32">
        <f>IF(Tabell2[[#This Row],[Sysselsettingsvekst10]]&lt;=I$427,I$427,IF(Tabell2[[#This Row],[Sysselsettingsvekst10]]&gt;=I$428,I$428,Tabell2[[#This Row],[Sysselsettingsvekst10]]))</f>
        <v>6.4707468320301942E-3</v>
      </c>
      <c r="S254" s="32">
        <f>IF(Tabell2[[#This Row],[Yrkesaktivandel]]&lt;=J$427,J$427,IF(Tabell2[[#This Row],[Yrkesaktivandel]]&gt;=J$428,J$428,Tabell2[[#This Row],[Yrkesaktivandel]]))</f>
        <v>0.92597026588718434</v>
      </c>
      <c r="T254" s="67">
        <f>IF(Tabell2[[#This Row],[Inntekt]]&lt;=K$427,K$427,IF(Tabell2[[#This Row],[Inntekt]]&gt;=K$428,K$428,Tabell2[[#This Row],[Inntekt]]))</f>
        <v>417900</v>
      </c>
      <c r="U254" s="10">
        <f>IF(Tabell2[[#This Row],[NIBR11-T]]&lt;=L$430,100,IF(Tabell2[[#This Row],[NIBR11-T]]&gt;=L$429,0,100*(L$429-Tabell2[[#This Row],[NIBR11-T]])/L$432))</f>
        <v>30</v>
      </c>
      <c r="V254" s="10">
        <f>(M$429-Tabell2[[#This Row],[ReisetidOslo-T]])*100/M$432</f>
        <v>33.960397039370726</v>
      </c>
      <c r="W254" s="10">
        <f>100-(N$429-Tabell2[[#This Row],[Beftettotal-T]])*100/N$432</f>
        <v>2.9779350738690482</v>
      </c>
      <c r="X254" s="10">
        <f>100-(O$429-Tabell2[[#This Row],[Befvekst10-T]])*100/O$432</f>
        <v>56.378129381080861</v>
      </c>
      <c r="Y254" s="10">
        <f>100-(P$429-Tabell2[[#This Row],[Kvinneandel-T]])*100/P$432</f>
        <v>40.611657011723501</v>
      </c>
      <c r="Z254" s="10">
        <f>(Q$429-Tabell2[[#This Row],[Eldreandel-T]])*100/Q$432</f>
        <v>64.382685261683662</v>
      </c>
      <c r="AA254" s="10">
        <f>100-(R$429-Tabell2[[#This Row],[Sysselsettingsvekst10-T]])*100/R$432</f>
        <v>39.626986492010758</v>
      </c>
      <c r="AB254" s="10">
        <f>100-(S$429-Tabell2[[#This Row],[Yrkesaktivandel-T]])*100/S$432</f>
        <v>100</v>
      </c>
      <c r="AC254" s="10">
        <f>100-(T$429-Tabell2[[#This Row],[Inntekt-T]])*100/T$432</f>
        <v>65.278240586471185</v>
      </c>
      <c r="AD25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46.709698909058709</v>
      </c>
    </row>
    <row r="255" spans="1:30" x14ac:dyDescent="0.25">
      <c r="A255" s="2" t="s">
        <v>249</v>
      </c>
      <c r="B255" s="2">
        <v>253</v>
      </c>
      <c r="C255">
        <f>'Rådata-K'!N254</f>
        <v>4</v>
      </c>
      <c r="D255" s="30">
        <f>'Rådata-K'!M254</f>
        <v>156.375</v>
      </c>
      <c r="E255" s="32">
        <f>'Rådata-K'!O254</f>
        <v>73.952962585127793</v>
      </c>
      <c r="F255" s="32">
        <f>'Rådata-K'!P254</f>
        <v>0.10587944256617465</v>
      </c>
      <c r="G255" s="32">
        <f>'Rådata-K'!Q254</f>
        <v>0.12601595705018268</v>
      </c>
      <c r="H255" s="32">
        <f>'Rådata-K'!R254</f>
        <v>0.16005517858474386</v>
      </c>
      <c r="I255" s="32">
        <f>'Rådata-K'!S254</f>
        <v>8.5299692790378412E-2</v>
      </c>
      <c r="J255" s="32">
        <f>'Rådata-K'!T254</f>
        <v>0.86320845341018249</v>
      </c>
      <c r="K255" s="67">
        <f>'Rådata-K'!L254</f>
        <v>441000</v>
      </c>
      <c r="L255" s="18">
        <f>Tabell2[[#This Row],[NIBR11]]</f>
        <v>4</v>
      </c>
      <c r="M255" s="32">
        <f>IF(Tabell2[[#This Row],[ReisetidOslo]]&lt;=D$427,D$427,IF(Tabell2[[#This Row],[ReisetidOslo]]&gt;=D$428,D$428,Tabell2[[#This Row],[ReisetidOslo]]))</f>
        <v>156.375</v>
      </c>
      <c r="N255" s="32">
        <f>IF(Tabell2[[#This Row],[Beftettotal]]&lt;=E$427,E$427,IF(Tabell2[[#This Row],[Beftettotal]]&gt;=E$428,E$428,Tabell2[[#This Row],[Beftettotal]]))</f>
        <v>73.952962585127793</v>
      </c>
      <c r="O255" s="32">
        <f>IF(Tabell2[[#This Row],[Befvekst10]]&lt;=F$427,F$427,IF(Tabell2[[#This Row],[Befvekst10]]&gt;=F$428,F$428,Tabell2[[#This Row],[Befvekst10]]))</f>
        <v>0.10587944256617465</v>
      </c>
      <c r="P255" s="32">
        <f>IF(Tabell2[[#This Row],[Kvinneandel]]&lt;=G$427,G$427,IF(Tabell2[[#This Row],[Kvinneandel]]&gt;=G$428,G$428,Tabell2[[#This Row],[Kvinneandel]]))</f>
        <v>0.12601595705018268</v>
      </c>
      <c r="Q255" s="32">
        <f>IF(Tabell2[[#This Row],[Eldreandel]]&lt;=H$427,H$427,IF(Tabell2[[#This Row],[Eldreandel]]&gt;=H$428,H$428,Tabell2[[#This Row],[Eldreandel]]))</f>
        <v>0.16005517858474386</v>
      </c>
      <c r="R255" s="32">
        <f>IF(Tabell2[[#This Row],[Sysselsettingsvekst10]]&lt;=I$427,I$427,IF(Tabell2[[#This Row],[Sysselsettingsvekst10]]&gt;=I$428,I$428,Tabell2[[#This Row],[Sysselsettingsvekst10]]))</f>
        <v>8.5299692790378412E-2</v>
      </c>
      <c r="S255" s="32">
        <f>IF(Tabell2[[#This Row],[Yrkesaktivandel]]&lt;=J$427,J$427,IF(Tabell2[[#This Row],[Yrkesaktivandel]]&gt;=J$428,J$428,Tabell2[[#This Row],[Yrkesaktivandel]]))</f>
        <v>0.86320845341018249</v>
      </c>
      <c r="T255" s="67">
        <f>IF(Tabell2[[#This Row],[Inntekt]]&lt;=K$427,K$427,IF(Tabell2[[#This Row],[Inntekt]]&gt;=K$428,K$428,Tabell2[[#This Row],[Inntekt]]))</f>
        <v>441000</v>
      </c>
      <c r="U255" s="10">
        <f>IF(Tabell2[[#This Row],[NIBR11-T]]&lt;=L$430,100,IF(Tabell2[[#This Row],[NIBR11-T]]&gt;=L$429,0,100*(L$429-Tabell2[[#This Row],[NIBR11-T]])/L$432))</f>
        <v>70</v>
      </c>
      <c r="V255" s="10">
        <f>(M$429-Tabell2[[#This Row],[ReisetidOslo-T]])*100/M$432</f>
        <v>56.161750796872433</v>
      </c>
      <c r="W255" s="10">
        <f>100-(N$429-Tabell2[[#This Row],[Beftettotal-T]])*100/N$432</f>
        <v>54.189340588782478</v>
      </c>
      <c r="X255" s="10">
        <f>100-(O$429-Tabell2[[#This Row],[Befvekst10-T]])*100/O$432</f>
        <v>69.098868382980214</v>
      </c>
      <c r="Y255" s="10">
        <f>100-(P$429-Tabell2[[#This Row],[Kvinneandel-T]])*100/P$432</f>
        <v>95.349053189583557</v>
      </c>
      <c r="Z255" s="10">
        <f>(Q$429-Tabell2[[#This Row],[Eldreandel-T]])*100/Q$432</f>
        <v>67.927509216372641</v>
      </c>
      <c r="AA255" s="10">
        <f>100-(R$429-Tabell2[[#This Row],[Sysselsettingsvekst10-T]])*100/R$432</f>
        <v>67.204830981981786</v>
      </c>
      <c r="AB255" s="10">
        <f>100-(S$429-Tabell2[[#This Row],[Yrkesaktivandel-T]])*100/S$432</f>
        <v>51.319185520818806</v>
      </c>
      <c r="AC255" s="10">
        <f>100-(T$429-Tabell2[[#This Row],[Inntekt-T]])*100/T$432</f>
        <v>90.936354548483834</v>
      </c>
      <c r="AD25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67.964748040587793</v>
      </c>
    </row>
    <row r="256" spans="1:30" x14ac:dyDescent="0.25">
      <c r="A256" s="2" t="s">
        <v>250</v>
      </c>
      <c r="B256" s="2">
        <v>254</v>
      </c>
      <c r="C256">
        <f>'Rådata-K'!N255</f>
        <v>4</v>
      </c>
      <c r="D256" s="30">
        <f>'Rådata-K'!M255</f>
        <v>169.0625</v>
      </c>
      <c r="E256" s="32">
        <f>'Rådata-K'!O255</f>
        <v>478.59460555668221</v>
      </c>
      <c r="F256" s="32">
        <f>'Rådata-K'!P255</f>
        <v>0.14048568321855748</v>
      </c>
      <c r="G256" s="32">
        <f>'Rådata-K'!Q255</f>
        <v>0.13237568592554927</v>
      </c>
      <c r="H256" s="32">
        <f>'Rådata-K'!R255</f>
        <v>0.13885887412868916</v>
      </c>
      <c r="I256" s="32">
        <f>'Rådata-K'!S255</f>
        <v>0.15384299725060524</v>
      </c>
      <c r="J256" s="32">
        <f>'Rådata-K'!T255</f>
        <v>0.85109241320794737</v>
      </c>
      <c r="K256" s="67">
        <f>'Rådata-K'!L255</f>
        <v>442600</v>
      </c>
      <c r="L256" s="18">
        <f>Tabell2[[#This Row],[NIBR11]]</f>
        <v>4</v>
      </c>
      <c r="M256" s="32">
        <f>IF(Tabell2[[#This Row],[ReisetidOslo]]&lt;=D$427,D$427,IF(Tabell2[[#This Row],[ReisetidOslo]]&gt;=D$428,D$428,Tabell2[[#This Row],[ReisetidOslo]]))</f>
        <v>169.0625</v>
      </c>
      <c r="N256" s="32">
        <f>IF(Tabell2[[#This Row],[Beftettotal]]&lt;=E$427,E$427,IF(Tabell2[[#This Row],[Beftettotal]]&gt;=E$428,E$428,Tabell2[[#This Row],[Beftettotal]]))</f>
        <v>135.41854576488009</v>
      </c>
      <c r="O256" s="32">
        <f>IF(Tabell2[[#This Row],[Befvekst10]]&lt;=F$427,F$427,IF(Tabell2[[#This Row],[Befvekst10]]&gt;=F$428,F$428,Tabell2[[#This Row],[Befvekst10]]))</f>
        <v>0.14048568321855748</v>
      </c>
      <c r="P256" s="32">
        <f>IF(Tabell2[[#This Row],[Kvinneandel]]&lt;=G$427,G$427,IF(Tabell2[[#This Row],[Kvinneandel]]&gt;=G$428,G$428,Tabell2[[#This Row],[Kvinneandel]]))</f>
        <v>0.12777681011054584</v>
      </c>
      <c r="Q256" s="32">
        <f>IF(Tabell2[[#This Row],[Eldreandel]]&lt;=H$427,H$427,IF(Tabell2[[#This Row],[Eldreandel]]&gt;=H$428,H$428,Tabell2[[#This Row],[Eldreandel]]))</f>
        <v>0.13885887412868916</v>
      </c>
      <c r="R256" s="32">
        <f>IF(Tabell2[[#This Row],[Sysselsettingsvekst10]]&lt;=I$427,I$427,IF(Tabell2[[#This Row],[Sysselsettingsvekst10]]&gt;=I$428,I$428,Tabell2[[#This Row],[Sysselsettingsvekst10]]))</f>
        <v>0.15384299725060524</v>
      </c>
      <c r="S256" s="32">
        <f>IF(Tabell2[[#This Row],[Yrkesaktivandel]]&lt;=J$427,J$427,IF(Tabell2[[#This Row],[Yrkesaktivandel]]&gt;=J$428,J$428,Tabell2[[#This Row],[Yrkesaktivandel]]))</f>
        <v>0.85109241320794737</v>
      </c>
      <c r="T256" s="67">
        <f>IF(Tabell2[[#This Row],[Inntekt]]&lt;=K$427,K$427,IF(Tabell2[[#This Row],[Inntekt]]&gt;=K$428,K$428,Tabell2[[#This Row],[Inntekt]]))</f>
        <v>442600</v>
      </c>
      <c r="U256" s="10">
        <f>IF(Tabell2[[#This Row],[NIBR11-T]]&lt;=L$430,100,IF(Tabell2[[#This Row],[NIBR11-T]]&gt;=L$429,0,100*(L$429-Tabell2[[#This Row],[NIBR11-T]])/L$432))</f>
        <v>70</v>
      </c>
      <c r="V256" s="10">
        <f>(M$429-Tabell2[[#This Row],[ReisetidOslo-T]])*100/M$432</f>
        <v>50.695559392660364</v>
      </c>
      <c r="W256" s="10">
        <f>100-(N$429-Tabell2[[#This Row],[Beftettotal-T]])*100/N$432</f>
        <v>100</v>
      </c>
      <c r="X256" s="10">
        <f>100-(O$429-Tabell2[[#This Row],[Befvekst10-T]])*100/O$432</f>
        <v>84.006364955673959</v>
      </c>
      <c r="Y256" s="10">
        <f>100-(P$429-Tabell2[[#This Row],[Kvinneandel-T]])*100/P$432</f>
        <v>100</v>
      </c>
      <c r="Z256" s="10">
        <f>(Q$429-Tabell2[[#This Row],[Eldreandel-T]])*100/Q$432</f>
        <v>90.790103277263057</v>
      </c>
      <c r="AA256" s="10">
        <f>100-(R$429-Tabell2[[#This Row],[Sysselsettingsvekst10-T]])*100/R$432</f>
        <v>91.184304108917402</v>
      </c>
      <c r="AB256" s="10">
        <f>100-(S$429-Tabell2[[#This Row],[Yrkesaktivandel-T]])*100/S$432</f>
        <v>41.921453332580313</v>
      </c>
      <c r="AC256" s="10">
        <f>100-(T$429-Tabell2[[#This Row],[Inntekt-T]])*100/T$432</f>
        <v>92.713539931134065</v>
      </c>
      <c r="AD25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77.992263831527154</v>
      </c>
    </row>
    <row r="257" spans="1:30" x14ac:dyDescent="0.25">
      <c r="A257" s="2" t="s">
        <v>251</v>
      </c>
      <c r="B257" s="2">
        <v>255</v>
      </c>
      <c r="C257">
        <f>'Rådata-K'!N256</f>
        <v>5</v>
      </c>
      <c r="D257" s="30">
        <f>'Rådata-K'!M256</f>
        <v>163.5</v>
      </c>
      <c r="E257" s="32">
        <f>'Rådata-K'!O256</f>
        <v>279.72075989929044</v>
      </c>
      <c r="F257" s="32">
        <f>'Rådata-K'!P256</f>
        <v>8.5249977799484844E-2</v>
      </c>
      <c r="G257" s="32">
        <f>'Rådata-K'!Q256</f>
        <v>0.11795270436134522</v>
      </c>
      <c r="H257" s="32">
        <f>'Rådata-K'!R256</f>
        <v>0.16070697978888798</v>
      </c>
      <c r="I257" s="32">
        <f>'Rådata-K'!S256</f>
        <v>2.6702393051833972E-2</v>
      </c>
      <c r="J257" s="32">
        <f>'Rådata-K'!T256</f>
        <v>0.78135451505016718</v>
      </c>
      <c r="K257" s="67">
        <f>'Rådata-K'!L256</f>
        <v>422200</v>
      </c>
      <c r="L257" s="18">
        <f>Tabell2[[#This Row],[NIBR11]]</f>
        <v>5</v>
      </c>
      <c r="M257" s="32">
        <f>IF(Tabell2[[#This Row],[ReisetidOslo]]&lt;=D$427,D$427,IF(Tabell2[[#This Row],[ReisetidOslo]]&gt;=D$428,D$428,Tabell2[[#This Row],[ReisetidOslo]]))</f>
        <v>163.5</v>
      </c>
      <c r="N257" s="32">
        <f>IF(Tabell2[[#This Row],[Beftettotal]]&lt;=E$427,E$427,IF(Tabell2[[#This Row],[Beftettotal]]&gt;=E$428,E$428,Tabell2[[#This Row],[Beftettotal]]))</f>
        <v>135.41854576488009</v>
      </c>
      <c r="O257" s="32">
        <f>IF(Tabell2[[#This Row],[Befvekst10]]&lt;=F$427,F$427,IF(Tabell2[[#This Row],[Befvekst10]]&gt;=F$428,F$428,Tabell2[[#This Row],[Befvekst10]]))</f>
        <v>8.5249977799484844E-2</v>
      </c>
      <c r="P257" s="32">
        <f>IF(Tabell2[[#This Row],[Kvinneandel]]&lt;=G$427,G$427,IF(Tabell2[[#This Row],[Kvinneandel]]&gt;=G$428,G$428,Tabell2[[#This Row],[Kvinneandel]]))</f>
        <v>0.11795270436134522</v>
      </c>
      <c r="Q257" s="32">
        <f>IF(Tabell2[[#This Row],[Eldreandel]]&lt;=H$427,H$427,IF(Tabell2[[#This Row],[Eldreandel]]&gt;=H$428,H$428,Tabell2[[#This Row],[Eldreandel]]))</f>
        <v>0.16070697978888798</v>
      </c>
      <c r="R257" s="32">
        <f>IF(Tabell2[[#This Row],[Sysselsettingsvekst10]]&lt;=I$427,I$427,IF(Tabell2[[#This Row],[Sysselsettingsvekst10]]&gt;=I$428,I$428,Tabell2[[#This Row],[Sysselsettingsvekst10]]))</f>
        <v>2.6702393051833972E-2</v>
      </c>
      <c r="S257" s="32">
        <f>IF(Tabell2[[#This Row],[Yrkesaktivandel]]&lt;=J$427,J$427,IF(Tabell2[[#This Row],[Yrkesaktivandel]]&gt;=J$428,J$428,Tabell2[[#This Row],[Yrkesaktivandel]]))</f>
        <v>0.7970451171433347</v>
      </c>
      <c r="T257" s="67">
        <f>IF(Tabell2[[#This Row],[Inntekt]]&lt;=K$427,K$427,IF(Tabell2[[#This Row],[Inntekt]]&gt;=K$428,K$428,Tabell2[[#This Row],[Inntekt]]))</f>
        <v>422200</v>
      </c>
      <c r="U257" s="10">
        <f>IF(Tabell2[[#This Row],[NIBR11-T]]&lt;=L$430,100,IF(Tabell2[[#This Row],[NIBR11-T]]&gt;=L$429,0,100*(L$429-Tabell2[[#This Row],[NIBR11-T]])/L$432))</f>
        <v>60</v>
      </c>
      <c r="V257" s="10">
        <f>(M$429-Tabell2[[#This Row],[ReisetidOslo-T]])*100/M$432</f>
        <v>53.092066954112944</v>
      </c>
      <c r="W257" s="10">
        <f>100-(N$429-Tabell2[[#This Row],[Beftettotal-T]])*100/N$432</f>
        <v>100</v>
      </c>
      <c r="X257" s="10">
        <f>100-(O$429-Tabell2[[#This Row],[Befvekst10-T]])*100/O$432</f>
        <v>60.212214718541816</v>
      </c>
      <c r="Y257" s="10">
        <f>100-(P$429-Tabell2[[#This Row],[Kvinneandel-T]])*100/P$432</f>
        <v>74.051558118077779</v>
      </c>
      <c r="Z257" s="10">
        <f>(Q$429-Tabell2[[#This Row],[Eldreandel-T]])*100/Q$432</f>
        <v>67.224468440107046</v>
      </c>
      <c r="AA257" s="10">
        <f>100-(R$429-Tabell2[[#This Row],[Sysselsettingsvekst10-T]])*100/R$432</f>
        <v>46.704909283477072</v>
      </c>
      <c r="AB257" s="10">
        <f>100-(S$429-Tabell2[[#This Row],[Yrkesaktivandel-T]])*100/S$432</f>
        <v>0</v>
      </c>
      <c r="AC257" s="10">
        <f>100-(T$429-Tabell2[[#This Row],[Inntekt-T]])*100/T$432</f>
        <v>70.054426302343671</v>
      </c>
      <c r="AD25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58.091384525610977</v>
      </c>
    </row>
    <row r="258" spans="1:30" x14ac:dyDescent="0.25">
      <c r="A258" s="2" t="s">
        <v>252</v>
      </c>
      <c r="B258" s="2">
        <v>256</v>
      </c>
      <c r="C258">
        <f>'Rådata-K'!N257</f>
        <v>11</v>
      </c>
      <c r="D258" s="30">
        <f>'Rådata-K'!M257</f>
        <v>227.0625</v>
      </c>
      <c r="E258" s="32">
        <f>'Rådata-K'!O257</f>
        <v>8.3149450948833117</v>
      </c>
      <c r="F258" s="32">
        <f>'Rådata-K'!P257</f>
        <v>-9.4174208144796379E-2</v>
      </c>
      <c r="G258" s="32">
        <f>'Rådata-K'!Q257</f>
        <v>8.7730252887917581E-2</v>
      </c>
      <c r="H258" s="32">
        <f>'Rådata-K'!R257</f>
        <v>0.23571651576646893</v>
      </c>
      <c r="I258" s="32">
        <f>'Rådata-K'!S257</f>
        <v>-0.10096153846153844</v>
      </c>
      <c r="J258" s="32">
        <f>'Rådata-K'!T257</f>
        <v>0.91766109785202865</v>
      </c>
      <c r="K258" s="67">
        <f>'Rådata-K'!L257</f>
        <v>392700</v>
      </c>
      <c r="L258" s="18">
        <f>Tabell2[[#This Row],[NIBR11]]</f>
        <v>11</v>
      </c>
      <c r="M258" s="32">
        <f>IF(Tabell2[[#This Row],[ReisetidOslo]]&lt;=D$427,D$427,IF(Tabell2[[#This Row],[ReisetidOslo]]&gt;=D$428,D$428,Tabell2[[#This Row],[ReisetidOslo]]))</f>
        <v>227.0625</v>
      </c>
      <c r="N258" s="32">
        <f>IF(Tabell2[[#This Row],[Beftettotal]]&lt;=E$427,E$427,IF(Tabell2[[#This Row],[Beftettotal]]&gt;=E$428,E$428,Tabell2[[#This Row],[Beftettotal]]))</f>
        <v>8.3149450948833117</v>
      </c>
      <c r="O258" s="32">
        <f>IF(Tabell2[[#This Row],[Befvekst10]]&lt;=F$427,F$427,IF(Tabell2[[#This Row],[Befvekst10]]&gt;=F$428,F$428,Tabell2[[#This Row],[Befvekst10]]))</f>
        <v>-5.4526569027269343E-2</v>
      </c>
      <c r="P258" s="32">
        <f>IF(Tabell2[[#This Row],[Kvinneandel]]&lt;=G$427,G$427,IF(Tabell2[[#This Row],[Kvinneandel]]&gt;=G$428,G$428,Tabell2[[#This Row],[Kvinneandel]]))</f>
        <v>8.9916711250255951E-2</v>
      </c>
      <c r="Q258" s="32">
        <f>IF(Tabell2[[#This Row],[Eldreandel]]&lt;=H$427,H$427,IF(Tabell2[[#This Row],[Eldreandel]]&gt;=H$428,H$428,Tabell2[[#This Row],[Eldreandel]]))</f>
        <v>0.22303194152148736</v>
      </c>
      <c r="R258" s="32">
        <f>IF(Tabell2[[#This Row],[Sysselsettingsvekst10]]&lt;=I$427,I$427,IF(Tabell2[[#This Row],[Sysselsettingsvekst10]]&gt;=I$428,I$428,Tabell2[[#This Row],[Sysselsettingsvekst10]]))</f>
        <v>-0.10096153846153844</v>
      </c>
      <c r="S258" s="32">
        <f>IF(Tabell2[[#This Row],[Yrkesaktivandel]]&lt;=J$427,J$427,IF(Tabell2[[#This Row],[Yrkesaktivandel]]&gt;=J$428,J$428,Tabell2[[#This Row],[Yrkesaktivandel]]))</f>
        <v>0.91766109785202865</v>
      </c>
      <c r="T258" s="67">
        <f>IF(Tabell2[[#This Row],[Inntekt]]&lt;=K$427,K$427,IF(Tabell2[[#This Row],[Inntekt]]&gt;=K$428,K$428,Tabell2[[#This Row],[Inntekt]]))</f>
        <v>392700</v>
      </c>
      <c r="U258" s="10">
        <f>IF(Tabell2[[#This Row],[NIBR11-T]]&lt;=L$430,100,IF(Tabell2[[#This Row],[NIBR11-T]]&gt;=L$429,0,100*(L$429-Tabell2[[#This Row],[NIBR11-T]])/L$432))</f>
        <v>0</v>
      </c>
      <c r="V258" s="10">
        <f>(M$429-Tabell2[[#This Row],[ReisetidOslo-T]])*100/M$432</f>
        <v>25.707255830548082</v>
      </c>
      <c r="W258" s="10">
        <f>100-(N$429-Tabell2[[#This Row],[Beftettotal-T]])*100/N$432</f>
        <v>5.268941430125281</v>
      </c>
      <c r="X258" s="10">
        <f>100-(O$429-Tabell2[[#This Row],[Befvekst10-T]])*100/O$432</f>
        <v>0</v>
      </c>
      <c r="Y258" s="10">
        <f>100-(P$429-Tabell2[[#This Row],[Kvinneandel-T]])*100/P$432</f>
        <v>0</v>
      </c>
      <c r="Z258" s="10">
        <f>(Q$429-Tabell2[[#This Row],[Eldreandel-T]])*100/Q$432</f>
        <v>0</v>
      </c>
      <c r="AA258" s="10">
        <f>100-(R$429-Tabell2[[#This Row],[Sysselsettingsvekst10-T]])*100/R$432</f>
        <v>2.042431465819007</v>
      </c>
      <c r="AB258" s="10">
        <f>100-(S$429-Tabell2[[#This Row],[Yrkesaktivandel-T]])*100/S$432</f>
        <v>93.555044833289685</v>
      </c>
      <c r="AC258" s="10">
        <f>100-(T$429-Tabell2[[#This Row],[Inntekt-T]])*100/T$432</f>
        <v>37.287570809730092</v>
      </c>
      <c r="AD25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16.386124436951214</v>
      </c>
    </row>
    <row r="259" spans="1:30" x14ac:dyDescent="0.25">
      <c r="A259" s="2" t="s">
        <v>253</v>
      </c>
      <c r="B259" s="2">
        <v>257</v>
      </c>
      <c r="C259">
        <f>'Rådata-K'!N258</f>
        <v>6</v>
      </c>
      <c r="D259" s="30">
        <f>'Rådata-K'!M258</f>
        <v>195.9375</v>
      </c>
      <c r="E259" s="32">
        <f>'Rådata-K'!O258</f>
        <v>27.250295032721809</v>
      </c>
      <c r="F259" s="32">
        <f>'Rådata-K'!P258</f>
        <v>5.542359461599311E-3</v>
      </c>
      <c r="G259" s="32">
        <f>'Rådata-K'!Q258</f>
        <v>9.6850393700787407E-2</v>
      </c>
      <c r="H259" s="32">
        <f>'Rådata-K'!R258</f>
        <v>0.19488188976377951</v>
      </c>
      <c r="I259" s="32">
        <f>'Rådata-K'!S258</f>
        <v>3.2957502168256658E-2</v>
      </c>
      <c r="J259" s="32">
        <f>'Rådata-K'!T258</f>
        <v>0.86990154711673695</v>
      </c>
      <c r="K259" s="67">
        <f>'Rådata-K'!L258</f>
        <v>410500</v>
      </c>
      <c r="L259" s="18">
        <f>Tabell2[[#This Row],[NIBR11]]</f>
        <v>6</v>
      </c>
      <c r="M259" s="32">
        <f>IF(Tabell2[[#This Row],[ReisetidOslo]]&lt;=D$427,D$427,IF(Tabell2[[#This Row],[ReisetidOslo]]&gt;=D$428,D$428,Tabell2[[#This Row],[ReisetidOslo]]))</f>
        <v>195.9375</v>
      </c>
      <c r="N259" s="32">
        <f>IF(Tabell2[[#This Row],[Beftettotal]]&lt;=E$427,E$427,IF(Tabell2[[#This Row],[Beftettotal]]&gt;=E$428,E$428,Tabell2[[#This Row],[Beftettotal]]))</f>
        <v>27.250295032721809</v>
      </c>
      <c r="O259" s="32">
        <f>IF(Tabell2[[#This Row],[Befvekst10]]&lt;=F$427,F$427,IF(Tabell2[[#This Row],[Befvekst10]]&gt;=F$428,F$428,Tabell2[[#This Row],[Befvekst10]]))</f>
        <v>5.542359461599311E-3</v>
      </c>
      <c r="P259" s="32">
        <f>IF(Tabell2[[#This Row],[Kvinneandel]]&lt;=G$427,G$427,IF(Tabell2[[#This Row],[Kvinneandel]]&gt;=G$428,G$428,Tabell2[[#This Row],[Kvinneandel]]))</f>
        <v>9.6850393700787407E-2</v>
      </c>
      <c r="Q259" s="32">
        <f>IF(Tabell2[[#This Row],[Eldreandel]]&lt;=H$427,H$427,IF(Tabell2[[#This Row],[Eldreandel]]&gt;=H$428,H$428,Tabell2[[#This Row],[Eldreandel]]))</f>
        <v>0.19488188976377951</v>
      </c>
      <c r="R259" s="32">
        <f>IF(Tabell2[[#This Row],[Sysselsettingsvekst10]]&lt;=I$427,I$427,IF(Tabell2[[#This Row],[Sysselsettingsvekst10]]&gt;=I$428,I$428,Tabell2[[#This Row],[Sysselsettingsvekst10]]))</f>
        <v>3.2957502168256658E-2</v>
      </c>
      <c r="S259" s="32">
        <f>IF(Tabell2[[#This Row],[Yrkesaktivandel]]&lt;=J$427,J$427,IF(Tabell2[[#This Row],[Yrkesaktivandel]]&gt;=J$428,J$428,Tabell2[[#This Row],[Yrkesaktivandel]]))</f>
        <v>0.86990154711673695</v>
      </c>
      <c r="T259" s="67">
        <f>IF(Tabell2[[#This Row],[Inntekt]]&lt;=K$427,K$427,IF(Tabell2[[#This Row],[Inntekt]]&gt;=K$428,K$428,Tabell2[[#This Row],[Inntekt]]))</f>
        <v>410500</v>
      </c>
      <c r="U259" s="10">
        <f>IF(Tabell2[[#This Row],[NIBR11-T]]&lt;=L$430,100,IF(Tabell2[[#This Row],[NIBR11-T]]&gt;=L$429,0,100*(L$429-Tabell2[[#This Row],[NIBR11-T]])/L$432))</f>
        <v>50</v>
      </c>
      <c r="V259" s="10">
        <f>(M$429-Tabell2[[#This Row],[ReisetidOslo-T]])*100/M$432</f>
        <v>39.116927354181612</v>
      </c>
      <c r="W259" s="10">
        <f>100-(N$429-Tabell2[[#This Row],[Beftettotal-T]])*100/N$432</f>
        <v>19.381568724293487</v>
      </c>
      <c r="X259" s="10">
        <f>100-(O$429-Tabell2[[#This Row],[Befvekst10-T]])*100/O$432</f>
        <v>25.876180963086981</v>
      </c>
      <c r="Y259" s="10">
        <f>100-(P$429-Tabell2[[#This Row],[Kvinneandel-T]])*100/P$432</f>
        <v>18.313957594558602</v>
      </c>
      <c r="Z259" s="10">
        <f>(Q$429-Tabell2[[#This Row],[Eldreandel-T]])*100/Q$432</f>
        <v>30.362991221599039</v>
      </c>
      <c r="AA259" s="10">
        <f>100-(R$429-Tabell2[[#This Row],[Sysselsettingsvekst10-T]])*100/R$432</f>
        <v>48.89322252784865</v>
      </c>
      <c r="AB259" s="10">
        <f>100-(S$429-Tabell2[[#This Row],[Yrkesaktivandel-T]])*100/S$432</f>
        <v>56.510642557531163</v>
      </c>
      <c r="AC259" s="10">
        <f>100-(T$429-Tabell2[[#This Row],[Inntekt-T]])*100/T$432</f>
        <v>57.058758191713871</v>
      </c>
      <c r="AD25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39.705195568982155</v>
      </c>
    </row>
    <row r="260" spans="1:30" x14ac:dyDescent="0.25">
      <c r="A260" s="2" t="s">
        <v>254</v>
      </c>
      <c r="B260" s="2">
        <v>258</v>
      </c>
      <c r="C260">
        <f>'Rådata-K'!N259</f>
        <v>6</v>
      </c>
      <c r="D260" s="30">
        <f>'Rådata-K'!M259</f>
        <v>197.375</v>
      </c>
      <c r="E260" s="32">
        <f>'Rådata-K'!O259</f>
        <v>74.935162720655896</v>
      </c>
      <c r="F260" s="32">
        <f>'Rådata-K'!P259</f>
        <v>7.6433121019108263E-2</v>
      </c>
      <c r="G260" s="32">
        <f>'Rådata-K'!Q259</f>
        <v>0.11075136764541699</v>
      </c>
      <c r="H260" s="32">
        <f>'Rådata-K'!R259</f>
        <v>0.16277771575304231</v>
      </c>
      <c r="I260" s="32">
        <f>'Rådata-K'!S259</f>
        <v>8.2878953107960784E-2</v>
      </c>
      <c r="J260" s="32">
        <f>'Rådata-K'!T259</f>
        <v>0.84869462025316456</v>
      </c>
      <c r="K260" s="67">
        <f>'Rådata-K'!L259</f>
        <v>456900</v>
      </c>
      <c r="L260" s="18">
        <f>Tabell2[[#This Row],[NIBR11]]</f>
        <v>6</v>
      </c>
      <c r="M260" s="32">
        <f>IF(Tabell2[[#This Row],[ReisetidOslo]]&lt;=D$427,D$427,IF(Tabell2[[#This Row],[ReisetidOslo]]&gt;=D$428,D$428,Tabell2[[#This Row],[ReisetidOslo]]))</f>
        <v>197.375</v>
      </c>
      <c r="N260" s="32">
        <f>IF(Tabell2[[#This Row],[Beftettotal]]&lt;=E$427,E$427,IF(Tabell2[[#This Row],[Beftettotal]]&gt;=E$428,E$428,Tabell2[[#This Row],[Beftettotal]]))</f>
        <v>74.935162720655896</v>
      </c>
      <c r="O260" s="32">
        <f>IF(Tabell2[[#This Row],[Befvekst10]]&lt;=F$427,F$427,IF(Tabell2[[#This Row],[Befvekst10]]&gt;=F$428,F$428,Tabell2[[#This Row],[Befvekst10]]))</f>
        <v>7.6433121019108263E-2</v>
      </c>
      <c r="P260" s="32">
        <f>IF(Tabell2[[#This Row],[Kvinneandel]]&lt;=G$427,G$427,IF(Tabell2[[#This Row],[Kvinneandel]]&gt;=G$428,G$428,Tabell2[[#This Row],[Kvinneandel]]))</f>
        <v>0.11075136764541699</v>
      </c>
      <c r="Q260" s="32">
        <f>IF(Tabell2[[#This Row],[Eldreandel]]&lt;=H$427,H$427,IF(Tabell2[[#This Row],[Eldreandel]]&gt;=H$428,H$428,Tabell2[[#This Row],[Eldreandel]]))</f>
        <v>0.16277771575304231</v>
      </c>
      <c r="R260" s="32">
        <f>IF(Tabell2[[#This Row],[Sysselsettingsvekst10]]&lt;=I$427,I$427,IF(Tabell2[[#This Row],[Sysselsettingsvekst10]]&gt;=I$428,I$428,Tabell2[[#This Row],[Sysselsettingsvekst10]]))</f>
        <v>8.2878953107960784E-2</v>
      </c>
      <c r="S260" s="32">
        <f>IF(Tabell2[[#This Row],[Yrkesaktivandel]]&lt;=J$427,J$427,IF(Tabell2[[#This Row],[Yrkesaktivandel]]&gt;=J$428,J$428,Tabell2[[#This Row],[Yrkesaktivandel]]))</f>
        <v>0.84869462025316456</v>
      </c>
      <c r="T260" s="67">
        <f>IF(Tabell2[[#This Row],[Inntekt]]&lt;=K$427,K$427,IF(Tabell2[[#This Row],[Inntekt]]&gt;=K$428,K$428,Tabell2[[#This Row],[Inntekt]]))</f>
        <v>449160</v>
      </c>
      <c r="U260" s="10">
        <f>IF(Tabell2[[#This Row],[NIBR11-T]]&lt;=L$430,100,IF(Tabell2[[#This Row],[NIBR11-T]]&gt;=L$429,0,100*(L$429-Tabell2[[#This Row],[NIBR11-T]])/L$432))</f>
        <v>50</v>
      </c>
      <c r="V260" s="10">
        <f>(M$429-Tabell2[[#This Row],[ReisetidOslo-T]])*100/M$432</f>
        <v>38.497605175379263</v>
      </c>
      <c r="W260" s="10">
        <f>100-(N$429-Tabell2[[#This Row],[Beftettotal-T]])*100/N$432</f>
        <v>54.92138010674725</v>
      </c>
      <c r="X260" s="10">
        <f>100-(O$429-Tabell2[[#This Row],[Befvekst10-T]])*100/O$432</f>
        <v>56.414134957273511</v>
      </c>
      <c r="Y260" s="10">
        <f>100-(P$429-Tabell2[[#This Row],[Kvinneandel-T]])*100/P$432</f>
        <v>55.03064445775594</v>
      </c>
      <c r="Z260" s="10">
        <f>(Q$429-Tabell2[[#This Row],[Eldreandel-T]])*100/Q$432</f>
        <v>64.990947221637114</v>
      </c>
      <c r="AA260" s="10">
        <f>100-(R$429-Tabell2[[#This Row],[Sysselsettingsvekst10-T]])*100/R$432</f>
        <v>66.35794939932444</v>
      </c>
      <c r="AB260" s="10">
        <f>100-(S$429-Tabell2[[#This Row],[Yrkesaktivandel-T]])*100/S$432</f>
        <v>40.061619950074935</v>
      </c>
      <c r="AC260" s="10">
        <f>100-(T$429-Tabell2[[#This Row],[Inntekt-T]])*100/T$432</f>
        <v>100</v>
      </c>
      <c r="AD26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57.267762038576947</v>
      </c>
    </row>
    <row r="261" spans="1:30" x14ac:dyDescent="0.25">
      <c r="A261" s="2" t="s">
        <v>255</v>
      </c>
      <c r="B261" s="2">
        <v>259</v>
      </c>
      <c r="C261">
        <f>'Rådata-K'!N260</f>
        <v>5</v>
      </c>
      <c r="D261" s="30">
        <f>'Rådata-K'!M260</f>
        <v>184.15625</v>
      </c>
      <c r="E261" s="32">
        <f>'Rådata-K'!O260</f>
        <v>87.015125012861404</v>
      </c>
      <c r="F261" s="32">
        <f>'Rådata-K'!P260</f>
        <v>0.23622277444818018</v>
      </c>
      <c r="G261" s="32">
        <f>'Rådata-K'!Q260</f>
        <v>0.11339718576327303</v>
      </c>
      <c r="H261" s="32">
        <f>'Rådata-K'!R260</f>
        <v>0.13018800993260021</v>
      </c>
      <c r="I261" s="32">
        <f>'Rådata-K'!S260</f>
        <v>0.15092024539877302</v>
      </c>
      <c r="J261" s="32">
        <f>'Rådata-K'!T260</f>
        <v>0.85627530364372473</v>
      </c>
      <c r="K261" s="67">
        <f>'Rådata-K'!L260</f>
        <v>449200</v>
      </c>
      <c r="L261" s="18">
        <f>Tabell2[[#This Row],[NIBR11]]</f>
        <v>5</v>
      </c>
      <c r="M261" s="32">
        <f>IF(Tabell2[[#This Row],[ReisetidOslo]]&lt;=D$427,D$427,IF(Tabell2[[#This Row],[ReisetidOslo]]&gt;=D$428,D$428,Tabell2[[#This Row],[ReisetidOslo]]))</f>
        <v>184.15625</v>
      </c>
      <c r="N261" s="32">
        <f>IF(Tabell2[[#This Row],[Beftettotal]]&lt;=E$427,E$427,IF(Tabell2[[#This Row],[Beftettotal]]&gt;=E$428,E$428,Tabell2[[#This Row],[Beftettotal]]))</f>
        <v>87.015125012861404</v>
      </c>
      <c r="O261" s="32">
        <f>IF(Tabell2[[#This Row],[Befvekst10]]&lt;=F$427,F$427,IF(Tabell2[[#This Row],[Befvekst10]]&gt;=F$428,F$428,Tabell2[[#This Row],[Befvekst10]]))</f>
        <v>0.17761328412400704</v>
      </c>
      <c r="P261" s="32">
        <f>IF(Tabell2[[#This Row],[Kvinneandel]]&lt;=G$427,G$427,IF(Tabell2[[#This Row],[Kvinneandel]]&gt;=G$428,G$428,Tabell2[[#This Row],[Kvinneandel]]))</f>
        <v>0.11339718576327303</v>
      </c>
      <c r="Q261" s="32">
        <f>IF(Tabell2[[#This Row],[Eldreandel]]&lt;=H$427,H$427,IF(Tabell2[[#This Row],[Eldreandel]]&gt;=H$428,H$428,Tabell2[[#This Row],[Eldreandel]]))</f>
        <v>0.13032022035982854</v>
      </c>
      <c r="R261" s="32">
        <f>IF(Tabell2[[#This Row],[Sysselsettingsvekst10]]&lt;=I$427,I$427,IF(Tabell2[[#This Row],[Sysselsettingsvekst10]]&gt;=I$428,I$428,Tabell2[[#This Row],[Sysselsettingsvekst10]]))</f>
        <v>0.15092024539877302</v>
      </c>
      <c r="S261" s="32">
        <f>IF(Tabell2[[#This Row],[Yrkesaktivandel]]&lt;=J$427,J$427,IF(Tabell2[[#This Row],[Yrkesaktivandel]]&gt;=J$428,J$428,Tabell2[[#This Row],[Yrkesaktivandel]]))</f>
        <v>0.85627530364372473</v>
      </c>
      <c r="T261" s="67">
        <f>IF(Tabell2[[#This Row],[Inntekt]]&lt;=K$427,K$427,IF(Tabell2[[#This Row],[Inntekt]]&gt;=K$428,K$428,Tabell2[[#This Row],[Inntekt]]))</f>
        <v>449160</v>
      </c>
      <c r="U261" s="10">
        <f>IF(Tabell2[[#This Row],[NIBR11-T]]&lt;=L$430,100,IF(Tabell2[[#This Row],[NIBR11-T]]&gt;=L$429,0,100*(L$429-Tabell2[[#This Row],[NIBR11-T]])/L$432))</f>
        <v>60</v>
      </c>
      <c r="V261" s="10">
        <f>(M$429-Tabell2[[#This Row],[ReisetidOslo-T]])*100/M$432</f>
        <v>44.192676515235668</v>
      </c>
      <c r="W261" s="10">
        <f>100-(N$429-Tabell2[[#This Row],[Beftettotal-T]])*100/N$432</f>
        <v>63.924646807239121</v>
      </c>
      <c r="X261" s="10">
        <f>100-(O$429-Tabell2[[#This Row],[Befvekst10-T]])*100/O$432</f>
        <v>100</v>
      </c>
      <c r="Y261" s="10">
        <f>100-(P$429-Tabell2[[#This Row],[Kvinneandel-T]])*100/P$432</f>
        <v>62.019052300058597</v>
      </c>
      <c r="Z261" s="10">
        <f>(Q$429-Tabell2[[#This Row],[Eldreandel-T]])*100/Q$432</f>
        <v>100</v>
      </c>
      <c r="AA261" s="10">
        <f>100-(R$429-Tabell2[[#This Row],[Sysselsettingsvekst10-T]])*100/R$432</f>
        <v>90.161796512593668</v>
      </c>
      <c r="AB261" s="10">
        <f>100-(S$429-Tabell2[[#This Row],[Yrkesaktivandel-T]])*100/S$432</f>
        <v>45.941530475229015</v>
      </c>
      <c r="AC261" s="10">
        <f>100-(T$429-Tabell2[[#This Row],[Inntekt-T]])*100/T$432</f>
        <v>100</v>
      </c>
      <c r="AD26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74.523017646032685</v>
      </c>
    </row>
    <row r="262" spans="1:30" x14ac:dyDescent="0.25">
      <c r="A262" s="2" t="s">
        <v>256</v>
      </c>
      <c r="B262" s="2">
        <v>260</v>
      </c>
      <c r="C262">
        <f>'Rådata-K'!N261</f>
        <v>5</v>
      </c>
      <c r="D262" s="30">
        <f>'Rådata-K'!M261</f>
        <v>192.0625</v>
      </c>
      <c r="E262" s="32">
        <f>'Rådata-K'!O261</f>
        <v>63.031850230974953</v>
      </c>
      <c r="F262" s="32">
        <f>'Rådata-K'!P261</f>
        <v>0.10909090909090913</v>
      </c>
      <c r="G262" s="32">
        <f>'Rådata-K'!Q261</f>
        <v>0.12497589199614272</v>
      </c>
      <c r="H262" s="32">
        <f>'Rådata-K'!R261</f>
        <v>0.15274831243973</v>
      </c>
      <c r="I262" s="32">
        <f>'Rådata-K'!S261</f>
        <v>-3.1188118811881216E-2</v>
      </c>
      <c r="J262" s="32">
        <f>'Rådata-K'!T261</f>
        <v>0.83040540540540542</v>
      </c>
      <c r="K262" s="67">
        <f>'Rådata-K'!L261</f>
        <v>412000</v>
      </c>
      <c r="L262" s="18">
        <f>Tabell2[[#This Row],[NIBR11]]</f>
        <v>5</v>
      </c>
      <c r="M262" s="32">
        <f>IF(Tabell2[[#This Row],[ReisetidOslo]]&lt;=D$427,D$427,IF(Tabell2[[#This Row],[ReisetidOslo]]&gt;=D$428,D$428,Tabell2[[#This Row],[ReisetidOslo]]))</f>
        <v>192.0625</v>
      </c>
      <c r="N262" s="32">
        <f>IF(Tabell2[[#This Row],[Beftettotal]]&lt;=E$427,E$427,IF(Tabell2[[#This Row],[Beftettotal]]&gt;=E$428,E$428,Tabell2[[#This Row],[Beftettotal]]))</f>
        <v>63.031850230974953</v>
      </c>
      <c r="O262" s="32">
        <f>IF(Tabell2[[#This Row],[Befvekst10]]&lt;=F$427,F$427,IF(Tabell2[[#This Row],[Befvekst10]]&gt;=F$428,F$428,Tabell2[[#This Row],[Befvekst10]]))</f>
        <v>0.10909090909090913</v>
      </c>
      <c r="P262" s="32">
        <f>IF(Tabell2[[#This Row],[Kvinneandel]]&lt;=G$427,G$427,IF(Tabell2[[#This Row],[Kvinneandel]]&gt;=G$428,G$428,Tabell2[[#This Row],[Kvinneandel]]))</f>
        <v>0.12497589199614272</v>
      </c>
      <c r="Q262" s="32">
        <f>IF(Tabell2[[#This Row],[Eldreandel]]&lt;=H$427,H$427,IF(Tabell2[[#This Row],[Eldreandel]]&gt;=H$428,H$428,Tabell2[[#This Row],[Eldreandel]]))</f>
        <v>0.15274831243973</v>
      </c>
      <c r="R262" s="32">
        <f>IF(Tabell2[[#This Row],[Sysselsettingsvekst10]]&lt;=I$427,I$427,IF(Tabell2[[#This Row],[Sysselsettingsvekst10]]&gt;=I$428,I$428,Tabell2[[#This Row],[Sysselsettingsvekst10]]))</f>
        <v>-3.1188118811881216E-2</v>
      </c>
      <c r="S262" s="32">
        <f>IF(Tabell2[[#This Row],[Yrkesaktivandel]]&lt;=J$427,J$427,IF(Tabell2[[#This Row],[Yrkesaktivandel]]&gt;=J$428,J$428,Tabell2[[#This Row],[Yrkesaktivandel]]))</f>
        <v>0.83040540540540542</v>
      </c>
      <c r="T262" s="67">
        <f>IF(Tabell2[[#This Row],[Inntekt]]&lt;=K$427,K$427,IF(Tabell2[[#This Row],[Inntekt]]&gt;=K$428,K$428,Tabell2[[#This Row],[Inntekt]]))</f>
        <v>412000</v>
      </c>
      <c r="U262" s="10">
        <f>IF(Tabell2[[#This Row],[NIBR11-T]]&lt;=L$430,100,IF(Tabell2[[#This Row],[NIBR11-T]]&gt;=L$429,0,100*(L$429-Tabell2[[#This Row],[NIBR11-T]])/L$432))</f>
        <v>60</v>
      </c>
      <c r="V262" s="10">
        <f>(M$429-Tabell2[[#This Row],[ReisetidOslo-T]])*100/M$432</f>
        <v>40.786404531822733</v>
      </c>
      <c r="W262" s="10">
        <f>100-(N$429-Tabell2[[#This Row],[Beftettotal-T]])*100/N$432</f>
        <v>46.049771539471919</v>
      </c>
      <c r="X262" s="10">
        <f>100-(O$429-Tabell2[[#This Row],[Befvekst10-T]])*100/O$432</f>
        <v>70.482287249296832</v>
      </c>
      <c r="Y262" s="10">
        <f>100-(P$429-Tabell2[[#This Row],[Kvinneandel-T]])*100/P$432</f>
        <v>92.601926041611819</v>
      </c>
      <c r="Z262" s="10">
        <f>(Q$429-Tabell2[[#This Row],[Eldreandel-T]])*100/Q$432</f>
        <v>75.80878469423061</v>
      </c>
      <c r="AA262" s="10">
        <f>100-(R$429-Tabell2[[#This Row],[Sysselsettingsvekst10-T]])*100/R$432</f>
        <v>26.452253178371748</v>
      </c>
      <c r="AB262" s="10">
        <f>100-(S$429-Tabell2[[#This Row],[Yrkesaktivandel-T]])*100/S$432</f>
        <v>25.875702752417553</v>
      </c>
      <c r="AC262" s="10">
        <f>100-(T$429-Tabell2[[#This Row],[Inntekt-T]])*100/T$432</f>
        <v>58.72486948794846</v>
      </c>
      <c r="AD26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54.305893135654721</v>
      </c>
    </row>
    <row r="263" spans="1:30" x14ac:dyDescent="0.25">
      <c r="A263" s="2" t="s">
        <v>257</v>
      </c>
      <c r="B263" s="2">
        <v>261</v>
      </c>
      <c r="C263">
        <f>'Rådata-K'!N262</f>
        <v>6</v>
      </c>
      <c r="D263" s="30">
        <f>'Rådata-K'!M262</f>
        <v>166.5625</v>
      </c>
      <c r="E263" s="32">
        <f>'Rådata-K'!O262</f>
        <v>16.632556099700313</v>
      </c>
      <c r="F263" s="32">
        <f>'Rådata-K'!P262</f>
        <v>9.438499458939531E-2</v>
      </c>
      <c r="G263" s="32">
        <f>'Rådata-K'!Q262</f>
        <v>0.12843331136014063</v>
      </c>
      <c r="H263" s="32">
        <f>'Rådata-K'!R262</f>
        <v>0.16271149197978466</v>
      </c>
      <c r="I263" s="32">
        <f>'Rådata-K'!S262</f>
        <v>0.10687593423019437</v>
      </c>
      <c r="J263" s="32">
        <f>'Rådata-K'!T262</f>
        <v>0.83721826237719132</v>
      </c>
      <c r="K263" s="67">
        <f>'Rådata-K'!L262</f>
        <v>381900</v>
      </c>
      <c r="L263" s="18">
        <f>Tabell2[[#This Row],[NIBR11]]</f>
        <v>6</v>
      </c>
      <c r="M263" s="32">
        <f>IF(Tabell2[[#This Row],[ReisetidOslo]]&lt;=D$427,D$427,IF(Tabell2[[#This Row],[ReisetidOslo]]&gt;=D$428,D$428,Tabell2[[#This Row],[ReisetidOslo]]))</f>
        <v>166.5625</v>
      </c>
      <c r="N263" s="32">
        <f>IF(Tabell2[[#This Row],[Beftettotal]]&lt;=E$427,E$427,IF(Tabell2[[#This Row],[Beftettotal]]&gt;=E$428,E$428,Tabell2[[#This Row],[Beftettotal]]))</f>
        <v>16.632556099700313</v>
      </c>
      <c r="O263" s="32">
        <f>IF(Tabell2[[#This Row],[Befvekst10]]&lt;=F$427,F$427,IF(Tabell2[[#This Row],[Befvekst10]]&gt;=F$428,F$428,Tabell2[[#This Row],[Befvekst10]]))</f>
        <v>9.438499458939531E-2</v>
      </c>
      <c r="P263" s="32">
        <f>IF(Tabell2[[#This Row],[Kvinneandel]]&lt;=G$427,G$427,IF(Tabell2[[#This Row],[Kvinneandel]]&gt;=G$428,G$428,Tabell2[[#This Row],[Kvinneandel]]))</f>
        <v>0.12777681011054584</v>
      </c>
      <c r="Q263" s="32">
        <f>IF(Tabell2[[#This Row],[Eldreandel]]&lt;=H$427,H$427,IF(Tabell2[[#This Row],[Eldreandel]]&gt;=H$428,H$428,Tabell2[[#This Row],[Eldreandel]]))</f>
        <v>0.16271149197978466</v>
      </c>
      <c r="R263" s="32">
        <f>IF(Tabell2[[#This Row],[Sysselsettingsvekst10]]&lt;=I$427,I$427,IF(Tabell2[[#This Row],[Sysselsettingsvekst10]]&gt;=I$428,I$428,Tabell2[[#This Row],[Sysselsettingsvekst10]]))</f>
        <v>0.10687593423019437</v>
      </c>
      <c r="S263" s="32">
        <f>IF(Tabell2[[#This Row],[Yrkesaktivandel]]&lt;=J$427,J$427,IF(Tabell2[[#This Row],[Yrkesaktivandel]]&gt;=J$428,J$428,Tabell2[[#This Row],[Yrkesaktivandel]]))</f>
        <v>0.83721826237719132</v>
      </c>
      <c r="T263" s="67">
        <f>IF(Tabell2[[#This Row],[Inntekt]]&lt;=K$427,K$427,IF(Tabell2[[#This Row],[Inntekt]]&gt;=K$428,K$428,Tabell2[[#This Row],[Inntekt]]))</f>
        <v>381900</v>
      </c>
      <c r="U263" s="10">
        <f>IF(Tabell2[[#This Row],[NIBR11-T]]&lt;=L$430,100,IF(Tabell2[[#This Row],[NIBR11-T]]&gt;=L$429,0,100*(L$429-Tabell2[[#This Row],[NIBR11-T]])/L$432))</f>
        <v>50</v>
      </c>
      <c r="V263" s="10">
        <f>(M$429-Tabell2[[#This Row],[ReisetidOslo-T]])*100/M$432</f>
        <v>51.772641442751414</v>
      </c>
      <c r="W263" s="10">
        <f>100-(N$429-Tabell2[[#This Row],[Beftettotal-T]])*100/N$432</f>
        <v>11.468105663910421</v>
      </c>
      <c r="X263" s="10">
        <f>100-(O$429-Tabell2[[#This Row],[Befvekst10-T]])*100/O$432</f>
        <v>64.147349795911538</v>
      </c>
      <c r="Y263" s="10">
        <f>100-(P$429-Tabell2[[#This Row],[Kvinneandel-T]])*100/P$432</f>
        <v>100</v>
      </c>
      <c r="Z263" s="10">
        <f>(Q$429-Tabell2[[#This Row],[Eldreandel-T]])*100/Q$432</f>
        <v>65.062376996025819</v>
      </c>
      <c r="AA263" s="10">
        <f>100-(R$429-Tabell2[[#This Row],[Sysselsettingsvekst10-T]])*100/R$432</f>
        <v>74.753152526452425</v>
      </c>
      <c r="AB263" s="10">
        <f>100-(S$429-Tabell2[[#This Row],[Yrkesaktivandel-T]])*100/S$432</f>
        <v>31.160053430439092</v>
      </c>
      <c r="AC263" s="10">
        <f>100-(T$429-Tabell2[[#This Row],[Inntekt-T]])*100/T$432</f>
        <v>25.291569476841048</v>
      </c>
      <c r="AD26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50.527141063023045</v>
      </c>
    </row>
    <row r="264" spans="1:30" x14ac:dyDescent="0.25">
      <c r="A264" s="2" t="s">
        <v>258</v>
      </c>
      <c r="B264" s="2">
        <v>262</v>
      </c>
      <c r="C264">
        <f>'Rådata-K'!N263</f>
        <v>6</v>
      </c>
      <c r="D264" s="30">
        <f>'Rådata-K'!M263</f>
        <v>164.15625</v>
      </c>
      <c r="E264" s="32">
        <f>'Rådata-K'!O263</f>
        <v>13.356040923386747</v>
      </c>
      <c r="F264" s="32">
        <f>'Rådata-K'!P263</f>
        <v>5.7272190513678378E-2</v>
      </c>
      <c r="G264" s="32">
        <f>'Rådata-K'!Q263</f>
        <v>0.11513402829486225</v>
      </c>
      <c r="H264" s="32">
        <f>'Rådata-K'!R263</f>
        <v>0.16772151898734178</v>
      </c>
      <c r="I264" s="32">
        <f>'Rådata-K'!S263</f>
        <v>6.2346916054329959E-3</v>
      </c>
      <c r="J264" s="32">
        <f>'Rådata-K'!T263</f>
        <v>0.88066390041493781</v>
      </c>
      <c r="K264" s="67">
        <f>'Rådata-K'!L263</f>
        <v>407800</v>
      </c>
      <c r="L264" s="18">
        <f>Tabell2[[#This Row],[NIBR11]]</f>
        <v>6</v>
      </c>
      <c r="M264" s="32">
        <f>IF(Tabell2[[#This Row],[ReisetidOslo]]&lt;=D$427,D$427,IF(Tabell2[[#This Row],[ReisetidOslo]]&gt;=D$428,D$428,Tabell2[[#This Row],[ReisetidOslo]]))</f>
        <v>164.15625</v>
      </c>
      <c r="N264" s="32">
        <f>IF(Tabell2[[#This Row],[Beftettotal]]&lt;=E$427,E$427,IF(Tabell2[[#This Row],[Beftettotal]]&gt;=E$428,E$428,Tabell2[[#This Row],[Beftettotal]]))</f>
        <v>13.356040923386747</v>
      </c>
      <c r="O264" s="32">
        <f>IF(Tabell2[[#This Row],[Befvekst10]]&lt;=F$427,F$427,IF(Tabell2[[#This Row],[Befvekst10]]&gt;=F$428,F$428,Tabell2[[#This Row],[Befvekst10]]))</f>
        <v>5.7272190513678378E-2</v>
      </c>
      <c r="P264" s="32">
        <f>IF(Tabell2[[#This Row],[Kvinneandel]]&lt;=G$427,G$427,IF(Tabell2[[#This Row],[Kvinneandel]]&gt;=G$428,G$428,Tabell2[[#This Row],[Kvinneandel]]))</f>
        <v>0.11513402829486225</v>
      </c>
      <c r="Q264" s="32">
        <f>IF(Tabell2[[#This Row],[Eldreandel]]&lt;=H$427,H$427,IF(Tabell2[[#This Row],[Eldreandel]]&gt;=H$428,H$428,Tabell2[[#This Row],[Eldreandel]]))</f>
        <v>0.16772151898734178</v>
      </c>
      <c r="R264" s="32">
        <f>IF(Tabell2[[#This Row],[Sysselsettingsvekst10]]&lt;=I$427,I$427,IF(Tabell2[[#This Row],[Sysselsettingsvekst10]]&gt;=I$428,I$428,Tabell2[[#This Row],[Sysselsettingsvekst10]]))</f>
        <v>6.2346916054329959E-3</v>
      </c>
      <c r="S264" s="32">
        <f>IF(Tabell2[[#This Row],[Yrkesaktivandel]]&lt;=J$427,J$427,IF(Tabell2[[#This Row],[Yrkesaktivandel]]&gt;=J$428,J$428,Tabell2[[#This Row],[Yrkesaktivandel]]))</f>
        <v>0.88066390041493781</v>
      </c>
      <c r="T264" s="67">
        <f>IF(Tabell2[[#This Row],[Inntekt]]&lt;=K$427,K$427,IF(Tabell2[[#This Row],[Inntekt]]&gt;=K$428,K$428,Tabell2[[#This Row],[Inntekt]]))</f>
        <v>407800</v>
      </c>
      <c r="U264" s="10">
        <f>IF(Tabell2[[#This Row],[NIBR11-T]]&lt;=L$430,100,IF(Tabell2[[#This Row],[NIBR11-T]]&gt;=L$429,0,100*(L$429-Tabell2[[#This Row],[NIBR11-T]])/L$432))</f>
        <v>50</v>
      </c>
      <c r="V264" s="10">
        <f>(M$429-Tabell2[[#This Row],[ReisetidOslo-T]])*100/M$432</f>
        <v>52.809332915964049</v>
      </c>
      <c r="W264" s="10">
        <f>100-(N$429-Tabell2[[#This Row],[Beftettotal-T]])*100/N$432</f>
        <v>9.0260996984121391</v>
      </c>
      <c r="X264" s="10">
        <f>100-(O$429-Tabell2[[#This Row],[Befvekst10-T]])*100/O$432</f>
        <v>48.160088853029848</v>
      </c>
      <c r="Y264" s="10">
        <f>100-(P$429-Tabell2[[#This Row],[Kvinneandel-T]])*100/P$432</f>
        <v>66.606580024163236</v>
      </c>
      <c r="Z264" s="10">
        <f>(Q$429-Tabell2[[#This Row],[Eldreandel-T]])*100/Q$432</f>
        <v>59.658500393604342</v>
      </c>
      <c r="AA264" s="10">
        <f>100-(R$429-Tabell2[[#This Row],[Sysselsettingsvekst10-T]])*100/R$432</f>
        <v>39.544403955215436</v>
      </c>
      <c r="AB264" s="10">
        <f>100-(S$429-Tabell2[[#This Row],[Yrkesaktivandel-T]])*100/S$432</f>
        <v>64.858395810531988</v>
      </c>
      <c r="AC264" s="10">
        <f>100-(T$429-Tabell2[[#This Row],[Inntekt-T]])*100/T$432</f>
        <v>54.059757858491615</v>
      </c>
      <c r="AD26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47.975070815355878</v>
      </c>
    </row>
    <row r="265" spans="1:30" x14ac:dyDescent="0.25">
      <c r="A265" s="2" t="s">
        <v>259</v>
      </c>
      <c r="B265" s="2">
        <v>263</v>
      </c>
      <c r="C265">
        <f>'Rådata-K'!N264</f>
        <v>4</v>
      </c>
      <c r="D265" s="30">
        <f>'Rådata-K'!M264</f>
        <v>198.9375</v>
      </c>
      <c r="E265" s="32">
        <f>'Rådata-K'!O264</f>
        <v>17.346630401934121</v>
      </c>
      <c r="F265" s="32">
        <f>'Rådata-K'!P264</f>
        <v>9.9616858237547845E-2</v>
      </c>
      <c r="G265" s="32">
        <f>'Rådata-K'!Q264</f>
        <v>0.1093205574912892</v>
      </c>
      <c r="H265" s="32">
        <f>'Rådata-K'!R264</f>
        <v>0.16855400696864112</v>
      </c>
      <c r="I265" s="32">
        <f>'Rådata-K'!S264</f>
        <v>6.3687150837988815E-2</v>
      </c>
      <c r="J265" s="32">
        <f>'Rådata-K'!T264</f>
        <v>0.90980392156862744</v>
      </c>
      <c r="K265" s="67">
        <f>'Rådata-K'!L264</f>
        <v>399500</v>
      </c>
      <c r="L265" s="18">
        <f>Tabell2[[#This Row],[NIBR11]]</f>
        <v>4</v>
      </c>
      <c r="M265" s="32">
        <f>IF(Tabell2[[#This Row],[ReisetidOslo]]&lt;=D$427,D$427,IF(Tabell2[[#This Row],[ReisetidOslo]]&gt;=D$428,D$428,Tabell2[[#This Row],[ReisetidOslo]]))</f>
        <v>198.9375</v>
      </c>
      <c r="N265" s="32">
        <f>IF(Tabell2[[#This Row],[Beftettotal]]&lt;=E$427,E$427,IF(Tabell2[[#This Row],[Beftettotal]]&gt;=E$428,E$428,Tabell2[[#This Row],[Beftettotal]]))</f>
        <v>17.346630401934121</v>
      </c>
      <c r="O265" s="32">
        <f>IF(Tabell2[[#This Row],[Befvekst10]]&lt;=F$427,F$427,IF(Tabell2[[#This Row],[Befvekst10]]&gt;=F$428,F$428,Tabell2[[#This Row],[Befvekst10]]))</f>
        <v>9.9616858237547845E-2</v>
      </c>
      <c r="P265" s="32">
        <f>IF(Tabell2[[#This Row],[Kvinneandel]]&lt;=G$427,G$427,IF(Tabell2[[#This Row],[Kvinneandel]]&gt;=G$428,G$428,Tabell2[[#This Row],[Kvinneandel]]))</f>
        <v>0.1093205574912892</v>
      </c>
      <c r="Q265" s="32">
        <f>IF(Tabell2[[#This Row],[Eldreandel]]&lt;=H$427,H$427,IF(Tabell2[[#This Row],[Eldreandel]]&gt;=H$428,H$428,Tabell2[[#This Row],[Eldreandel]]))</f>
        <v>0.16855400696864112</v>
      </c>
      <c r="R265" s="32">
        <f>IF(Tabell2[[#This Row],[Sysselsettingsvekst10]]&lt;=I$427,I$427,IF(Tabell2[[#This Row],[Sysselsettingsvekst10]]&gt;=I$428,I$428,Tabell2[[#This Row],[Sysselsettingsvekst10]]))</f>
        <v>6.3687150837988815E-2</v>
      </c>
      <c r="S265" s="32">
        <f>IF(Tabell2[[#This Row],[Yrkesaktivandel]]&lt;=J$427,J$427,IF(Tabell2[[#This Row],[Yrkesaktivandel]]&gt;=J$428,J$428,Tabell2[[#This Row],[Yrkesaktivandel]]))</f>
        <v>0.90980392156862744</v>
      </c>
      <c r="T265" s="67">
        <f>IF(Tabell2[[#This Row],[Inntekt]]&lt;=K$427,K$427,IF(Tabell2[[#This Row],[Inntekt]]&gt;=K$428,K$428,Tabell2[[#This Row],[Inntekt]]))</f>
        <v>399500</v>
      </c>
      <c r="U265" s="10">
        <f>IF(Tabell2[[#This Row],[NIBR11-T]]&lt;=L$430,100,IF(Tabell2[[#This Row],[NIBR11-T]]&gt;=L$429,0,100*(L$429-Tabell2[[#This Row],[NIBR11-T]])/L$432))</f>
        <v>70</v>
      </c>
      <c r="V265" s="10">
        <f>(M$429-Tabell2[[#This Row],[ReisetidOslo-T]])*100/M$432</f>
        <v>37.824428894072355</v>
      </c>
      <c r="W265" s="10">
        <f>100-(N$429-Tabell2[[#This Row],[Beftettotal-T]])*100/N$432</f>
        <v>12.000309426758832</v>
      </c>
      <c r="X265" s="10">
        <f>100-(O$429-Tabell2[[#This Row],[Befvekst10-T]])*100/O$432</f>
        <v>66.401104839317696</v>
      </c>
      <c r="Y265" s="10">
        <f>100-(P$429-Tabell2[[#This Row],[Kvinneandel-T]])*100/P$432</f>
        <v>51.251441029345159</v>
      </c>
      <c r="Z265" s="10">
        <f>(Q$429-Tabell2[[#This Row],[Eldreandel-T]])*100/Q$432</f>
        <v>58.760568642507032</v>
      </c>
      <c r="AA265" s="10">
        <f>100-(R$429-Tabell2[[#This Row],[Sysselsettingsvekst10-T]])*100/R$432</f>
        <v>59.643809916053726</v>
      </c>
      <c r="AB265" s="10">
        <f>100-(S$429-Tabell2[[#This Row],[Yrkesaktivandel-T]])*100/S$432</f>
        <v>87.460674293518608</v>
      </c>
      <c r="AC265" s="10">
        <f>100-(T$429-Tabell2[[#This Row],[Inntekt-T]])*100/T$432</f>
        <v>44.840608685993558</v>
      </c>
      <c r="AD26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56.957804573095856</v>
      </c>
    </row>
    <row r="266" spans="1:30" x14ac:dyDescent="0.25">
      <c r="A266" s="2" t="s">
        <v>260</v>
      </c>
      <c r="B266" s="2">
        <v>264</v>
      </c>
      <c r="C266">
        <f>'Rådata-K'!N265</f>
        <v>9</v>
      </c>
      <c r="D266" s="30">
        <f>'Rådata-K'!M265</f>
        <v>236.84375</v>
      </c>
      <c r="E266" s="32">
        <f>'Rådata-K'!O265</f>
        <v>1.7625487536035271</v>
      </c>
      <c r="F266" s="32">
        <f>'Rådata-K'!P265</f>
        <v>-8.4755090809025879E-2</v>
      </c>
      <c r="G266" s="32">
        <f>'Rådata-K'!Q265</f>
        <v>9.2002405291641609E-2</v>
      </c>
      <c r="H266" s="32">
        <f>'Rådata-K'!R265</f>
        <v>0.20926037282020446</v>
      </c>
      <c r="I266" s="32">
        <f>'Rådata-K'!S265</f>
        <v>-7.5170842824601403E-2</v>
      </c>
      <c r="J266" s="32">
        <f>'Rådata-K'!T265</f>
        <v>0.96543778801843316</v>
      </c>
      <c r="K266" s="67">
        <f>'Rådata-K'!L265</f>
        <v>379200</v>
      </c>
      <c r="L266" s="18">
        <f>Tabell2[[#This Row],[NIBR11]]</f>
        <v>9</v>
      </c>
      <c r="M266" s="32">
        <f>IF(Tabell2[[#This Row],[ReisetidOslo]]&lt;=D$427,D$427,IF(Tabell2[[#This Row],[ReisetidOslo]]&gt;=D$428,D$428,Tabell2[[#This Row],[ReisetidOslo]]))</f>
        <v>236.84375</v>
      </c>
      <c r="N266" s="32">
        <f>IF(Tabell2[[#This Row],[Beftettotal]]&lt;=E$427,E$427,IF(Tabell2[[#This Row],[Beftettotal]]&gt;=E$428,E$428,Tabell2[[#This Row],[Beftettotal]]))</f>
        <v>1.7625487536035271</v>
      </c>
      <c r="O266" s="32">
        <f>IF(Tabell2[[#This Row],[Befvekst10]]&lt;=F$427,F$427,IF(Tabell2[[#This Row],[Befvekst10]]&gt;=F$428,F$428,Tabell2[[#This Row],[Befvekst10]]))</f>
        <v>-5.4526569027269343E-2</v>
      </c>
      <c r="P266" s="32">
        <f>IF(Tabell2[[#This Row],[Kvinneandel]]&lt;=G$427,G$427,IF(Tabell2[[#This Row],[Kvinneandel]]&gt;=G$428,G$428,Tabell2[[#This Row],[Kvinneandel]]))</f>
        <v>9.2002405291641609E-2</v>
      </c>
      <c r="Q266" s="32">
        <f>IF(Tabell2[[#This Row],[Eldreandel]]&lt;=H$427,H$427,IF(Tabell2[[#This Row],[Eldreandel]]&gt;=H$428,H$428,Tabell2[[#This Row],[Eldreandel]]))</f>
        <v>0.20926037282020446</v>
      </c>
      <c r="R266" s="32">
        <f>IF(Tabell2[[#This Row],[Sysselsettingsvekst10]]&lt;=I$427,I$427,IF(Tabell2[[#This Row],[Sysselsettingsvekst10]]&gt;=I$428,I$428,Tabell2[[#This Row],[Sysselsettingsvekst10]]))</f>
        <v>-7.5170842824601403E-2</v>
      </c>
      <c r="S266" s="32">
        <f>IF(Tabell2[[#This Row],[Yrkesaktivandel]]&lt;=J$427,J$427,IF(Tabell2[[#This Row],[Yrkesaktivandel]]&gt;=J$428,J$428,Tabell2[[#This Row],[Yrkesaktivandel]]))</f>
        <v>0.92597026588718434</v>
      </c>
      <c r="T266" s="67">
        <f>IF(Tabell2[[#This Row],[Inntekt]]&lt;=K$427,K$427,IF(Tabell2[[#This Row],[Inntekt]]&gt;=K$428,K$428,Tabell2[[#This Row],[Inntekt]]))</f>
        <v>379200</v>
      </c>
      <c r="U266" s="10">
        <f>IF(Tabell2[[#This Row],[NIBR11-T]]&lt;=L$430,100,IF(Tabell2[[#This Row],[NIBR11-T]]&gt;=L$429,0,100*(L$429-Tabell2[[#This Row],[NIBR11-T]])/L$432))</f>
        <v>20</v>
      </c>
      <c r="V266" s="10">
        <f>(M$429-Tabell2[[#This Row],[ReisetidOslo-T]])*100/M$432</f>
        <v>21.493172309566862</v>
      </c>
      <c r="W266" s="10">
        <f>100-(N$429-Tabell2[[#This Row],[Beftettotal-T]])*100/N$432</f>
        <v>0.38540203150202501</v>
      </c>
      <c r="X266" s="10">
        <f>100-(O$429-Tabell2[[#This Row],[Befvekst10-T]])*100/O$432</f>
        <v>0</v>
      </c>
      <c r="Y266" s="10">
        <f>100-(P$429-Tabell2[[#This Row],[Kvinneandel-T]])*100/P$432</f>
        <v>5.5089503307485188</v>
      </c>
      <c r="Z266" s="10">
        <f>(Q$429-Tabell2[[#This Row],[Eldreandel-T]])*100/Q$432</f>
        <v>14.85418297571006</v>
      </c>
      <c r="AA266" s="10">
        <f>100-(R$429-Tabell2[[#This Row],[Sysselsettingsvekst10-T]])*100/R$432</f>
        <v>11.065155097560009</v>
      </c>
      <c r="AB266" s="10">
        <f>100-(S$429-Tabell2[[#This Row],[Yrkesaktivandel-T]])*100/S$432</f>
        <v>100</v>
      </c>
      <c r="AC266" s="10">
        <f>100-(T$429-Tabell2[[#This Row],[Inntekt-T]])*100/T$432</f>
        <v>22.292569143618792</v>
      </c>
      <c r="AD26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20.5417865235477</v>
      </c>
    </row>
    <row r="267" spans="1:30" x14ac:dyDescent="0.25">
      <c r="A267" s="2" t="s">
        <v>261</v>
      </c>
      <c r="B267" s="2">
        <v>265</v>
      </c>
      <c r="C267">
        <f>'Rådata-K'!N266</f>
        <v>5</v>
      </c>
      <c r="D267" s="30">
        <f>'Rådata-K'!M266</f>
        <v>234.90625</v>
      </c>
      <c r="E267" s="32">
        <f>'Rådata-K'!O266</f>
        <v>5.3392003326172821</v>
      </c>
      <c r="F267" s="32">
        <f>'Rådata-K'!P266</f>
        <v>2.7333333333333432E-2</v>
      </c>
      <c r="G267" s="32">
        <f>'Rådata-K'!Q266</f>
        <v>0.11313000216309756</v>
      </c>
      <c r="H267" s="32">
        <f>'Rådata-K'!R266</f>
        <v>0.19943759463551805</v>
      </c>
      <c r="I267" s="32">
        <f>'Rådata-K'!S266</f>
        <v>4.1788549937327168E-4</v>
      </c>
      <c r="J267" s="32">
        <f>'Rådata-K'!T266</f>
        <v>0.93035019455252921</v>
      </c>
      <c r="K267" s="67">
        <f>'Rådata-K'!L266</f>
        <v>397200</v>
      </c>
      <c r="L267" s="18">
        <f>Tabell2[[#This Row],[NIBR11]]</f>
        <v>5</v>
      </c>
      <c r="M267" s="32">
        <f>IF(Tabell2[[#This Row],[ReisetidOslo]]&lt;=D$427,D$427,IF(Tabell2[[#This Row],[ReisetidOslo]]&gt;=D$428,D$428,Tabell2[[#This Row],[ReisetidOslo]]))</f>
        <v>234.90625</v>
      </c>
      <c r="N267" s="32">
        <f>IF(Tabell2[[#This Row],[Beftettotal]]&lt;=E$427,E$427,IF(Tabell2[[#This Row],[Beftettotal]]&gt;=E$428,E$428,Tabell2[[#This Row],[Beftettotal]]))</f>
        <v>5.3392003326172821</v>
      </c>
      <c r="O267" s="32">
        <f>IF(Tabell2[[#This Row],[Befvekst10]]&lt;=F$427,F$427,IF(Tabell2[[#This Row],[Befvekst10]]&gt;=F$428,F$428,Tabell2[[#This Row],[Befvekst10]]))</f>
        <v>2.7333333333333432E-2</v>
      </c>
      <c r="P267" s="32">
        <f>IF(Tabell2[[#This Row],[Kvinneandel]]&lt;=G$427,G$427,IF(Tabell2[[#This Row],[Kvinneandel]]&gt;=G$428,G$428,Tabell2[[#This Row],[Kvinneandel]]))</f>
        <v>0.11313000216309756</v>
      </c>
      <c r="Q267" s="32">
        <f>IF(Tabell2[[#This Row],[Eldreandel]]&lt;=H$427,H$427,IF(Tabell2[[#This Row],[Eldreandel]]&gt;=H$428,H$428,Tabell2[[#This Row],[Eldreandel]]))</f>
        <v>0.19943759463551805</v>
      </c>
      <c r="R267" s="32">
        <f>IF(Tabell2[[#This Row],[Sysselsettingsvekst10]]&lt;=I$427,I$427,IF(Tabell2[[#This Row],[Sysselsettingsvekst10]]&gt;=I$428,I$428,Tabell2[[#This Row],[Sysselsettingsvekst10]]))</f>
        <v>4.1788549937327168E-4</v>
      </c>
      <c r="S267" s="32">
        <f>IF(Tabell2[[#This Row],[Yrkesaktivandel]]&lt;=J$427,J$427,IF(Tabell2[[#This Row],[Yrkesaktivandel]]&gt;=J$428,J$428,Tabell2[[#This Row],[Yrkesaktivandel]]))</f>
        <v>0.92597026588718434</v>
      </c>
      <c r="T267" s="67">
        <f>IF(Tabell2[[#This Row],[Inntekt]]&lt;=K$427,K$427,IF(Tabell2[[#This Row],[Inntekt]]&gt;=K$428,K$428,Tabell2[[#This Row],[Inntekt]]))</f>
        <v>397200</v>
      </c>
      <c r="U267" s="10">
        <f>IF(Tabell2[[#This Row],[NIBR11-T]]&lt;=L$430,100,IF(Tabell2[[#This Row],[NIBR11-T]]&gt;=L$429,0,100*(L$429-Tabell2[[#This Row],[NIBR11-T]])/L$432))</f>
        <v>60</v>
      </c>
      <c r="V267" s="10">
        <f>(M$429-Tabell2[[#This Row],[ReisetidOslo-T]])*100/M$432</f>
        <v>22.327910898387422</v>
      </c>
      <c r="W267" s="10">
        <f>100-(N$429-Tabell2[[#This Row],[Beftettotal-T]])*100/N$432</f>
        <v>3.0511014171179767</v>
      </c>
      <c r="X267" s="10">
        <f>100-(O$429-Tabell2[[#This Row],[Befvekst10-T]])*100/O$432</f>
        <v>35.263183485886799</v>
      </c>
      <c r="Y267" s="10">
        <f>100-(P$429-Tabell2[[#This Row],[Kvinneandel-T]])*100/P$432</f>
        <v>61.313339403847145</v>
      </c>
      <c r="Z267" s="10">
        <f>(Q$429-Tabell2[[#This Row],[Eldreandel-T]])*100/Q$432</f>
        <v>25.44915204931695</v>
      </c>
      <c r="AA267" s="10">
        <f>100-(R$429-Tabell2[[#This Row],[Sysselsettingsvekst10-T]])*100/R$432</f>
        <v>37.509428448807057</v>
      </c>
      <c r="AB267" s="10">
        <f>100-(S$429-Tabell2[[#This Row],[Yrkesaktivandel-T]])*100/S$432</f>
        <v>100</v>
      </c>
      <c r="AC267" s="10">
        <f>100-(T$429-Tabell2[[#This Row],[Inntekt-T]])*100/T$432</f>
        <v>42.285904698433853</v>
      </c>
      <c r="AD26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43.908195816110194</v>
      </c>
    </row>
    <row r="268" spans="1:30" x14ac:dyDescent="0.25">
      <c r="A268" s="2" t="s">
        <v>262</v>
      </c>
      <c r="B268" s="2">
        <v>266</v>
      </c>
      <c r="C268">
        <f>'Rådata-K'!N267</f>
        <v>4</v>
      </c>
      <c r="D268" s="30">
        <f>'Rådata-K'!M267</f>
        <v>215.4375</v>
      </c>
      <c r="E268" s="32">
        <f>'Rådata-K'!O267</f>
        <v>4.0676731290727322</v>
      </c>
      <c r="F268" s="32">
        <f>'Rådata-K'!P267</f>
        <v>2.1341463414634054E-2</v>
      </c>
      <c r="G268" s="32">
        <f>'Rådata-K'!Q267</f>
        <v>9.8507462686567168E-2</v>
      </c>
      <c r="H268" s="32">
        <f>'Rådata-K'!R267</f>
        <v>0.17611940298507461</v>
      </c>
      <c r="I268" s="32">
        <f>'Rådata-K'!S267</f>
        <v>-0.26239999999999997</v>
      </c>
      <c r="J268" s="32">
        <f>'Rådata-K'!T267</f>
        <v>0.88566243194192373</v>
      </c>
      <c r="K268" s="67">
        <f>'Rådata-K'!L267</f>
        <v>364000</v>
      </c>
      <c r="L268" s="18">
        <f>Tabell2[[#This Row],[NIBR11]]</f>
        <v>4</v>
      </c>
      <c r="M268" s="32">
        <f>IF(Tabell2[[#This Row],[ReisetidOslo]]&lt;=D$427,D$427,IF(Tabell2[[#This Row],[ReisetidOslo]]&gt;=D$428,D$428,Tabell2[[#This Row],[ReisetidOslo]]))</f>
        <v>215.4375</v>
      </c>
      <c r="N268" s="32">
        <f>IF(Tabell2[[#This Row],[Beftettotal]]&lt;=E$427,E$427,IF(Tabell2[[#This Row],[Beftettotal]]&gt;=E$428,E$428,Tabell2[[#This Row],[Beftettotal]]))</f>
        <v>4.0676731290727322</v>
      </c>
      <c r="O268" s="32">
        <f>IF(Tabell2[[#This Row],[Befvekst10]]&lt;=F$427,F$427,IF(Tabell2[[#This Row],[Befvekst10]]&gt;=F$428,F$428,Tabell2[[#This Row],[Befvekst10]]))</f>
        <v>2.1341463414634054E-2</v>
      </c>
      <c r="P268" s="32">
        <f>IF(Tabell2[[#This Row],[Kvinneandel]]&lt;=G$427,G$427,IF(Tabell2[[#This Row],[Kvinneandel]]&gt;=G$428,G$428,Tabell2[[#This Row],[Kvinneandel]]))</f>
        <v>9.8507462686567168E-2</v>
      </c>
      <c r="Q268" s="32">
        <f>IF(Tabell2[[#This Row],[Eldreandel]]&lt;=H$427,H$427,IF(Tabell2[[#This Row],[Eldreandel]]&gt;=H$428,H$428,Tabell2[[#This Row],[Eldreandel]]))</f>
        <v>0.17611940298507461</v>
      </c>
      <c r="R268" s="32">
        <f>IF(Tabell2[[#This Row],[Sysselsettingsvekst10]]&lt;=I$427,I$427,IF(Tabell2[[#This Row],[Sysselsettingsvekst10]]&gt;=I$428,I$428,Tabell2[[#This Row],[Sysselsettingsvekst10]]))</f>
        <v>-0.10679965679965678</v>
      </c>
      <c r="S268" s="32">
        <f>IF(Tabell2[[#This Row],[Yrkesaktivandel]]&lt;=J$427,J$427,IF(Tabell2[[#This Row],[Yrkesaktivandel]]&gt;=J$428,J$428,Tabell2[[#This Row],[Yrkesaktivandel]]))</f>
        <v>0.88566243194192373</v>
      </c>
      <c r="T268" s="67">
        <f>IF(Tabell2[[#This Row],[Inntekt]]&lt;=K$427,K$427,IF(Tabell2[[#This Row],[Inntekt]]&gt;=K$428,K$428,Tabell2[[#This Row],[Inntekt]]))</f>
        <v>364000</v>
      </c>
      <c r="U268" s="10">
        <f>IF(Tabell2[[#This Row],[NIBR11-T]]&lt;=L$430,100,IF(Tabell2[[#This Row],[NIBR11-T]]&gt;=L$429,0,100*(L$429-Tabell2[[#This Row],[NIBR11-T]])/L$432))</f>
        <v>70</v>
      </c>
      <c r="V268" s="10">
        <f>(M$429-Tabell2[[#This Row],[ReisetidOslo-T]])*100/M$432</f>
        <v>30.715687363471449</v>
      </c>
      <c r="W268" s="10">
        <f>100-(N$429-Tabell2[[#This Row],[Beftettotal-T]])*100/N$432</f>
        <v>2.103424739531917</v>
      </c>
      <c r="X268" s="10">
        <f>100-(O$429-Tabell2[[#This Row],[Befvekst10-T]])*100/O$432</f>
        <v>32.682036889401843</v>
      </c>
      <c r="Y268" s="10">
        <f>100-(P$429-Tabell2[[#This Row],[Kvinneandel-T]])*100/P$432</f>
        <v>22.690779197414486</v>
      </c>
      <c r="Z268" s="10">
        <f>(Q$429-Tabell2[[#This Row],[Eldreandel-T]])*100/Q$432</f>
        <v>50.600439673223917</v>
      </c>
      <c r="AA268" s="10">
        <f>100-(R$429-Tabell2[[#This Row],[Sysselsettingsvekst10-T]])*100/R$432</f>
        <v>0</v>
      </c>
      <c r="AB268" s="10">
        <f>100-(S$429-Tabell2[[#This Row],[Yrkesaktivandel-T]])*100/S$432</f>
        <v>68.735476097572857</v>
      </c>
      <c r="AC268" s="10">
        <f>100-(T$429-Tabell2[[#This Row],[Inntekt-T]])*100/T$432</f>
        <v>5.4093080084416272</v>
      </c>
      <c r="AD26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34.897357942314081</v>
      </c>
    </row>
    <row r="269" spans="1:30" x14ac:dyDescent="0.25">
      <c r="A269" s="2" t="s">
        <v>263</v>
      </c>
      <c r="B269" s="2">
        <v>267</v>
      </c>
      <c r="C269">
        <f>'Rådata-K'!N268</f>
        <v>4</v>
      </c>
      <c r="D269" s="30">
        <f>'Rådata-K'!M268</f>
        <v>208.6875</v>
      </c>
      <c r="E269" s="32">
        <f>'Rådata-K'!O268</f>
        <v>22.7797513321492</v>
      </c>
      <c r="F269" s="32">
        <f>'Rådata-K'!P268</f>
        <v>3.0534351145038219E-2</v>
      </c>
      <c r="G269" s="32">
        <f>'Rådata-K'!Q268</f>
        <v>0.10747238466536713</v>
      </c>
      <c r="H269" s="32">
        <f>'Rådata-K'!R268</f>
        <v>0.15971410006497727</v>
      </c>
      <c r="I269" s="32">
        <f>'Rådata-K'!S268</f>
        <v>-7.5818639798488685E-2</v>
      </c>
      <c r="J269" s="32">
        <f>'Rådata-K'!T268</f>
        <v>0.90516843562528837</v>
      </c>
      <c r="K269" s="67">
        <f>'Rådata-K'!L268</f>
        <v>401400</v>
      </c>
      <c r="L269" s="18">
        <f>Tabell2[[#This Row],[NIBR11]]</f>
        <v>4</v>
      </c>
      <c r="M269" s="32">
        <f>IF(Tabell2[[#This Row],[ReisetidOslo]]&lt;=D$427,D$427,IF(Tabell2[[#This Row],[ReisetidOslo]]&gt;=D$428,D$428,Tabell2[[#This Row],[ReisetidOslo]]))</f>
        <v>208.6875</v>
      </c>
      <c r="N269" s="32">
        <f>IF(Tabell2[[#This Row],[Beftettotal]]&lt;=E$427,E$427,IF(Tabell2[[#This Row],[Beftettotal]]&gt;=E$428,E$428,Tabell2[[#This Row],[Beftettotal]]))</f>
        <v>22.7797513321492</v>
      </c>
      <c r="O269" s="32">
        <f>IF(Tabell2[[#This Row],[Befvekst10]]&lt;=F$427,F$427,IF(Tabell2[[#This Row],[Befvekst10]]&gt;=F$428,F$428,Tabell2[[#This Row],[Befvekst10]]))</f>
        <v>3.0534351145038219E-2</v>
      </c>
      <c r="P269" s="32">
        <f>IF(Tabell2[[#This Row],[Kvinneandel]]&lt;=G$427,G$427,IF(Tabell2[[#This Row],[Kvinneandel]]&gt;=G$428,G$428,Tabell2[[#This Row],[Kvinneandel]]))</f>
        <v>0.10747238466536713</v>
      </c>
      <c r="Q269" s="32">
        <f>IF(Tabell2[[#This Row],[Eldreandel]]&lt;=H$427,H$427,IF(Tabell2[[#This Row],[Eldreandel]]&gt;=H$428,H$428,Tabell2[[#This Row],[Eldreandel]]))</f>
        <v>0.15971410006497727</v>
      </c>
      <c r="R269" s="32">
        <f>IF(Tabell2[[#This Row],[Sysselsettingsvekst10]]&lt;=I$427,I$427,IF(Tabell2[[#This Row],[Sysselsettingsvekst10]]&gt;=I$428,I$428,Tabell2[[#This Row],[Sysselsettingsvekst10]]))</f>
        <v>-7.5818639798488685E-2</v>
      </c>
      <c r="S269" s="32">
        <f>IF(Tabell2[[#This Row],[Yrkesaktivandel]]&lt;=J$427,J$427,IF(Tabell2[[#This Row],[Yrkesaktivandel]]&gt;=J$428,J$428,Tabell2[[#This Row],[Yrkesaktivandel]]))</f>
        <v>0.90516843562528837</v>
      </c>
      <c r="T269" s="67">
        <f>IF(Tabell2[[#This Row],[Inntekt]]&lt;=K$427,K$427,IF(Tabell2[[#This Row],[Inntekt]]&gt;=K$428,K$428,Tabell2[[#This Row],[Inntekt]]))</f>
        <v>401400</v>
      </c>
      <c r="U269" s="10">
        <f>IF(Tabell2[[#This Row],[NIBR11-T]]&lt;=L$430,100,IF(Tabell2[[#This Row],[NIBR11-T]]&gt;=L$429,0,100*(L$429-Tabell2[[#This Row],[NIBR11-T]])/L$432))</f>
        <v>70</v>
      </c>
      <c r="V269" s="10">
        <f>(M$429-Tabell2[[#This Row],[ReisetidOslo-T]])*100/M$432</f>
        <v>33.623808898717279</v>
      </c>
      <c r="W269" s="10">
        <f>100-(N$429-Tabell2[[#This Row],[Beftettotal-T]])*100/N$432</f>
        <v>16.049646301122536</v>
      </c>
      <c r="X269" s="10">
        <f>100-(O$429-Tabell2[[#This Row],[Befvekst10-T]])*100/O$432</f>
        <v>36.642101309884396</v>
      </c>
      <c r="Y269" s="10">
        <f>100-(P$429-Tabell2[[#This Row],[Kvinneandel-T]])*100/P$432</f>
        <v>46.369856243362044</v>
      </c>
      <c r="Z269" s="10">
        <f>(Q$429-Tabell2[[#This Row],[Eldreandel-T]])*100/Q$432</f>
        <v>68.295400692760907</v>
      </c>
      <c r="AA269" s="10">
        <f>100-(R$429-Tabell2[[#This Row],[Sysselsettingsvekst10-T]])*100/R$432</f>
        <v>10.838527124932085</v>
      </c>
      <c r="AB269" s="10">
        <f>100-(S$429-Tabell2[[#This Row],[Yrkesaktivandel-T]])*100/S$432</f>
        <v>83.865188084269462</v>
      </c>
      <c r="AC269" s="10">
        <f>100-(T$429-Tabell2[[#This Row],[Inntekt-T]])*100/T$432</f>
        <v>46.951016327890706</v>
      </c>
      <c r="AD26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46.194501782476237</v>
      </c>
    </row>
    <row r="270" spans="1:30" x14ac:dyDescent="0.25">
      <c r="A270" s="2" t="s">
        <v>264</v>
      </c>
      <c r="B270" s="2">
        <v>268</v>
      </c>
      <c r="C270">
        <f>'Rådata-K'!N269</f>
        <v>4</v>
      </c>
      <c r="D270" s="30">
        <f>'Rådata-K'!M269</f>
        <v>190.59375</v>
      </c>
      <c r="E270" s="32">
        <f>'Rådata-K'!O269</f>
        <v>38.881946180121638</v>
      </c>
      <c r="F270" s="32">
        <f>'Rådata-K'!P269</f>
        <v>0.27235550708833145</v>
      </c>
      <c r="G270" s="32">
        <f>'Rådata-K'!Q269</f>
        <v>0.13391900578530105</v>
      </c>
      <c r="H270" s="32">
        <f>'Rådata-K'!R269</f>
        <v>0.12384829655024641</v>
      </c>
      <c r="I270" s="32">
        <f>'Rådata-K'!S269</f>
        <v>0.4432234432234432</v>
      </c>
      <c r="J270" s="32">
        <f>'Rådata-K'!T269</f>
        <v>0.87687797728105532</v>
      </c>
      <c r="K270" s="67">
        <f>'Rådata-K'!L269</f>
        <v>427100</v>
      </c>
      <c r="L270" s="18">
        <f>Tabell2[[#This Row],[NIBR11]]</f>
        <v>4</v>
      </c>
      <c r="M270" s="32">
        <f>IF(Tabell2[[#This Row],[ReisetidOslo]]&lt;=D$427,D$427,IF(Tabell2[[#This Row],[ReisetidOslo]]&gt;=D$428,D$428,Tabell2[[#This Row],[ReisetidOslo]]))</f>
        <v>190.59375</v>
      </c>
      <c r="N270" s="32">
        <f>IF(Tabell2[[#This Row],[Beftettotal]]&lt;=E$427,E$427,IF(Tabell2[[#This Row],[Beftettotal]]&gt;=E$428,E$428,Tabell2[[#This Row],[Beftettotal]]))</f>
        <v>38.881946180121638</v>
      </c>
      <c r="O270" s="32">
        <f>IF(Tabell2[[#This Row],[Befvekst10]]&lt;=F$427,F$427,IF(Tabell2[[#This Row],[Befvekst10]]&gt;=F$428,F$428,Tabell2[[#This Row],[Befvekst10]]))</f>
        <v>0.17761328412400704</v>
      </c>
      <c r="P270" s="32">
        <f>IF(Tabell2[[#This Row],[Kvinneandel]]&lt;=G$427,G$427,IF(Tabell2[[#This Row],[Kvinneandel]]&gt;=G$428,G$428,Tabell2[[#This Row],[Kvinneandel]]))</f>
        <v>0.12777681011054584</v>
      </c>
      <c r="Q270" s="32">
        <f>IF(Tabell2[[#This Row],[Eldreandel]]&lt;=H$427,H$427,IF(Tabell2[[#This Row],[Eldreandel]]&gt;=H$428,H$428,Tabell2[[#This Row],[Eldreandel]]))</f>
        <v>0.13032022035982854</v>
      </c>
      <c r="R270" s="32">
        <f>IF(Tabell2[[#This Row],[Sysselsettingsvekst10]]&lt;=I$427,I$427,IF(Tabell2[[#This Row],[Sysselsettingsvekst10]]&gt;=I$428,I$428,Tabell2[[#This Row],[Sysselsettingsvekst10]]))</f>
        <v>0.17904192152607218</v>
      </c>
      <c r="S270" s="32">
        <f>IF(Tabell2[[#This Row],[Yrkesaktivandel]]&lt;=J$427,J$427,IF(Tabell2[[#This Row],[Yrkesaktivandel]]&gt;=J$428,J$428,Tabell2[[#This Row],[Yrkesaktivandel]]))</f>
        <v>0.87687797728105532</v>
      </c>
      <c r="T270" s="67">
        <f>IF(Tabell2[[#This Row],[Inntekt]]&lt;=K$427,K$427,IF(Tabell2[[#This Row],[Inntekt]]&gt;=K$428,K$428,Tabell2[[#This Row],[Inntekt]]))</f>
        <v>427100</v>
      </c>
      <c r="U270" s="10">
        <f>IF(Tabell2[[#This Row],[NIBR11-T]]&lt;=L$430,100,IF(Tabell2[[#This Row],[NIBR11-T]]&gt;=L$429,0,100*(L$429-Tabell2[[#This Row],[NIBR11-T]])/L$432))</f>
        <v>70</v>
      </c>
      <c r="V270" s="10">
        <f>(M$429-Tabell2[[#This Row],[ReisetidOslo-T]])*100/M$432</f>
        <v>41.419190236251225</v>
      </c>
      <c r="W270" s="10">
        <f>100-(N$429-Tabell2[[#This Row],[Beftettotal-T]])*100/N$432</f>
        <v>28.050706500881958</v>
      </c>
      <c r="X270" s="10">
        <f>100-(O$429-Tabell2[[#This Row],[Befvekst10-T]])*100/O$432</f>
        <v>100</v>
      </c>
      <c r="Y270" s="10">
        <f>100-(P$429-Tabell2[[#This Row],[Kvinneandel-T]])*100/P$432</f>
        <v>100</v>
      </c>
      <c r="Z270" s="10">
        <f>(Q$429-Tabell2[[#This Row],[Eldreandel-T]])*100/Q$432</f>
        <v>100</v>
      </c>
      <c r="AA270" s="10">
        <f>100-(R$429-Tabell2[[#This Row],[Sysselsettingsvekst10-T]])*100/R$432</f>
        <v>100</v>
      </c>
      <c r="AB270" s="10">
        <f>100-(S$429-Tabell2[[#This Row],[Yrkesaktivandel-T]])*100/S$432</f>
        <v>61.921867777972246</v>
      </c>
      <c r="AC270" s="10">
        <f>100-(T$429-Tabell2[[#This Row],[Inntekt-T]])*100/T$432</f>
        <v>75.497056536709991</v>
      </c>
      <c r="AD27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74.688882105181534</v>
      </c>
    </row>
    <row r="271" spans="1:30" x14ac:dyDescent="0.25">
      <c r="A271" s="2" t="s">
        <v>265</v>
      </c>
      <c r="B271" s="2">
        <v>269</v>
      </c>
      <c r="C271">
        <f>'Rådata-K'!N270</f>
        <v>4</v>
      </c>
      <c r="D271" s="30">
        <f>'Rådata-K'!M270</f>
        <v>193.28125</v>
      </c>
      <c r="E271" s="32">
        <f>'Rådata-K'!O270</f>
        <v>153.96581196581195</v>
      </c>
      <c r="F271" s="32">
        <f>'Rådata-K'!P270</f>
        <v>0.19487927832316254</v>
      </c>
      <c r="G271" s="32">
        <f>'Rådata-K'!Q270</f>
        <v>0.12479182857777284</v>
      </c>
      <c r="H271" s="32">
        <f>'Rådata-K'!R270</f>
        <v>0.13433995781059177</v>
      </c>
      <c r="I271" s="32">
        <f>'Rådata-K'!S270</f>
        <v>0.147483417869684</v>
      </c>
      <c r="J271" s="32">
        <f>'Rådata-K'!T270</f>
        <v>0.8871252204585538</v>
      </c>
      <c r="K271" s="67">
        <f>'Rådata-K'!L270</f>
        <v>415300</v>
      </c>
      <c r="L271" s="18">
        <f>Tabell2[[#This Row],[NIBR11]]</f>
        <v>4</v>
      </c>
      <c r="M271" s="32">
        <f>IF(Tabell2[[#This Row],[ReisetidOslo]]&lt;=D$427,D$427,IF(Tabell2[[#This Row],[ReisetidOslo]]&gt;=D$428,D$428,Tabell2[[#This Row],[ReisetidOslo]]))</f>
        <v>193.28125</v>
      </c>
      <c r="N271" s="32">
        <f>IF(Tabell2[[#This Row],[Beftettotal]]&lt;=E$427,E$427,IF(Tabell2[[#This Row],[Beftettotal]]&gt;=E$428,E$428,Tabell2[[#This Row],[Beftettotal]]))</f>
        <v>135.41854576488009</v>
      </c>
      <c r="O271" s="32">
        <f>IF(Tabell2[[#This Row],[Befvekst10]]&lt;=F$427,F$427,IF(Tabell2[[#This Row],[Befvekst10]]&gt;=F$428,F$428,Tabell2[[#This Row],[Befvekst10]]))</f>
        <v>0.17761328412400704</v>
      </c>
      <c r="P271" s="32">
        <f>IF(Tabell2[[#This Row],[Kvinneandel]]&lt;=G$427,G$427,IF(Tabell2[[#This Row],[Kvinneandel]]&gt;=G$428,G$428,Tabell2[[#This Row],[Kvinneandel]]))</f>
        <v>0.12479182857777284</v>
      </c>
      <c r="Q271" s="32">
        <f>IF(Tabell2[[#This Row],[Eldreandel]]&lt;=H$427,H$427,IF(Tabell2[[#This Row],[Eldreandel]]&gt;=H$428,H$428,Tabell2[[#This Row],[Eldreandel]]))</f>
        <v>0.13433995781059177</v>
      </c>
      <c r="R271" s="32">
        <f>IF(Tabell2[[#This Row],[Sysselsettingsvekst10]]&lt;=I$427,I$427,IF(Tabell2[[#This Row],[Sysselsettingsvekst10]]&gt;=I$428,I$428,Tabell2[[#This Row],[Sysselsettingsvekst10]]))</f>
        <v>0.147483417869684</v>
      </c>
      <c r="S271" s="32">
        <f>IF(Tabell2[[#This Row],[Yrkesaktivandel]]&lt;=J$427,J$427,IF(Tabell2[[#This Row],[Yrkesaktivandel]]&gt;=J$428,J$428,Tabell2[[#This Row],[Yrkesaktivandel]]))</f>
        <v>0.8871252204585538</v>
      </c>
      <c r="T271" s="67">
        <f>IF(Tabell2[[#This Row],[Inntekt]]&lt;=K$427,K$427,IF(Tabell2[[#This Row],[Inntekt]]&gt;=K$428,K$428,Tabell2[[#This Row],[Inntekt]]))</f>
        <v>415300</v>
      </c>
      <c r="U271" s="10">
        <f>IF(Tabell2[[#This Row],[NIBR11-T]]&lt;=L$430,100,IF(Tabell2[[#This Row],[NIBR11-T]]&gt;=L$429,0,100*(L$429-Tabell2[[#This Row],[NIBR11-T]])/L$432))</f>
        <v>70</v>
      </c>
      <c r="V271" s="10">
        <f>(M$429-Tabell2[[#This Row],[ReisetidOslo-T]])*100/M$432</f>
        <v>40.261327032403351</v>
      </c>
      <c r="W271" s="10">
        <f>100-(N$429-Tabell2[[#This Row],[Beftettotal-T]])*100/N$432</f>
        <v>100</v>
      </c>
      <c r="X271" s="10">
        <f>100-(O$429-Tabell2[[#This Row],[Befvekst10-T]])*100/O$432</f>
        <v>100</v>
      </c>
      <c r="Y271" s="10">
        <f>100-(P$429-Tabell2[[#This Row],[Kvinneandel-T]])*100/P$432</f>
        <v>92.115758746990906</v>
      </c>
      <c r="Z271" s="10">
        <f>(Q$429-Tabell2[[#This Row],[Eldreandel-T]])*100/Q$432</f>
        <v>95.664261864199332</v>
      </c>
      <c r="AA271" s="10">
        <f>100-(R$429-Tabell2[[#This Row],[Sysselsettingsvekst10-T]])*100/R$432</f>
        <v>88.959442555125449</v>
      </c>
      <c r="AB271" s="10">
        <f>100-(S$429-Tabell2[[#This Row],[Yrkesaktivandel-T]])*100/S$432</f>
        <v>69.870079028717313</v>
      </c>
      <c r="AC271" s="10">
        <f>100-(T$429-Tabell2[[#This Row],[Inntekt-T]])*100/T$432</f>
        <v>62.390314339664556</v>
      </c>
      <c r="AD27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79.537117326150593</v>
      </c>
    </row>
    <row r="272" spans="1:30" x14ac:dyDescent="0.25">
      <c r="A272" s="2" t="s">
        <v>266</v>
      </c>
      <c r="B272" s="2">
        <v>270</v>
      </c>
      <c r="C272">
        <f>'Rådata-K'!N271</f>
        <v>4</v>
      </c>
      <c r="D272" s="30">
        <f>'Rådata-K'!M271</f>
        <v>162.59375</v>
      </c>
      <c r="E272" s="32">
        <f>'Rådata-K'!O271</f>
        <v>201.72711571675305</v>
      </c>
      <c r="F272" s="32">
        <f>'Rådata-K'!P271</f>
        <v>0.23002858432375506</v>
      </c>
      <c r="G272" s="32">
        <f>'Rådata-K'!Q271</f>
        <v>0.12292074363992173</v>
      </c>
      <c r="H272" s="32">
        <f>'Rådata-K'!R271</f>
        <v>0.12977005870841488</v>
      </c>
      <c r="I272" s="32">
        <f>'Rådata-K'!S271</f>
        <v>7.031924072476281E-2</v>
      </c>
      <c r="J272" s="32">
        <f>'Rådata-K'!T271</f>
        <v>0.87432050445749077</v>
      </c>
      <c r="K272" s="67">
        <f>'Rådata-K'!L271</f>
        <v>447700</v>
      </c>
      <c r="L272" s="18">
        <f>Tabell2[[#This Row],[NIBR11]]</f>
        <v>4</v>
      </c>
      <c r="M272" s="32">
        <f>IF(Tabell2[[#This Row],[ReisetidOslo]]&lt;=D$427,D$427,IF(Tabell2[[#This Row],[ReisetidOslo]]&gt;=D$428,D$428,Tabell2[[#This Row],[ReisetidOslo]]))</f>
        <v>162.59375</v>
      </c>
      <c r="N272" s="32">
        <f>IF(Tabell2[[#This Row],[Beftettotal]]&lt;=E$427,E$427,IF(Tabell2[[#This Row],[Beftettotal]]&gt;=E$428,E$428,Tabell2[[#This Row],[Beftettotal]]))</f>
        <v>135.41854576488009</v>
      </c>
      <c r="O272" s="32">
        <f>IF(Tabell2[[#This Row],[Befvekst10]]&lt;=F$427,F$427,IF(Tabell2[[#This Row],[Befvekst10]]&gt;=F$428,F$428,Tabell2[[#This Row],[Befvekst10]]))</f>
        <v>0.17761328412400704</v>
      </c>
      <c r="P272" s="32">
        <f>IF(Tabell2[[#This Row],[Kvinneandel]]&lt;=G$427,G$427,IF(Tabell2[[#This Row],[Kvinneandel]]&gt;=G$428,G$428,Tabell2[[#This Row],[Kvinneandel]]))</f>
        <v>0.12292074363992173</v>
      </c>
      <c r="Q272" s="32">
        <f>IF(Tabell2[[#This Row],[Eldreandel]]&lt;=H$427,H$427,IF(Tabell2[[#This Row],[Eldreandel]]&gt;=H$428,H$428,Tabell2[[#This Row],[Eldreandel]]))</f>
        <v>0.13032022035982854</v>
      </c>
      <c r="R272" s="32">
        <f>IF(Tabell2[[#This Row],[Sysselsettingsvekst10]]&lt;=I$427,I$427,IF(Tabell2[[#This Row],[Sysselsettingsvekst10]]&gt;=I$428,I$428,Tabell2[[#This Row],[Sysselsettingsvekst10]]))</f>
        <v>7.031924072476281E-2</v>
      </c>
      <c r="S272" s="32">
        <f>IF(Tabell2[[#This Row],[Yrkesaktivandel]]&lt;=J$427,J$427,IF(Tabell2[[#This Row],[Yrkesaktivandel]]&gt;=J$428,J$428,Tabell2[[#This Row],[Yrkesaktivandel]]))</f>
        <v>0.87432050445749077</v>
      </c>
      <c r="T272" s="67">
        <f>IF(Tabell2[[#This Row],[Inntekt]]&lt;=K$427,K$427,IF(Tabell2[[#This Row],[Inntekt]]&gt;=K$428,K$428,Tabell2[[#This Row],[Inntekt]]))</f>
        <v>447700</v>
      </c>
      <c r="U272" s="10">
        <f>IF(Tabell2[[#This Row],[NIBR11-T]]&lt;=L$430,100,IF(Tabell2[[#This Row],[NIBR11-T]]&gt;=L$429,0,100*(L$429-Tabell2[[#This Row],[NIBR11-T]])/L$432))</f>
        <v>70</v>
      </c>
      <c r="V272" s="10">
        <f>(M$429-Tabell2[[#This Row],[ReisetidOslo-T]])*100/M$432</f>
        <v>53.48250919727095</v>
      </c>
      <c r="W272" s="10">
        <f>100-(N$429-Tabell2[[#This Row],[Beftettotal-T]])*100/N$432</f>
        <v>100</v>
      </c>
      <c r="X272" s="10">
        <f>100-(O$429-Tabell2[[#This Row],[Befvekst10-T]])*100/O$432</f>
        <v>100</v>
      </c>
      <c r="Y272" s="10">
        <f>100-(P$429-Tabell2[[#This Row],[Kvinneandel-T]])*100/P$432</f>
        <v>87.173656126615484</v>
      </c>
      <c r="Z272" s="10">
        <f>(Q$429-Tabell2[[#This Row],[Eldreandel-T]])*100/Q$432</f>
        <v>100</v>
      </c>
      <c r="AA272" s="10">
        <f>100-(R$429-Tabell2[[#This Row],[Sysselsettingsvekst10-T]])*100/R$432</f>
        <v>61.964007672314516</v>
      </c>
      <c r="AB272" s="10">
        <f>100-(S$429-Tabell2[[#This Row],[Yrkesaktivandel-T]])*100/S$432</f>
        <v>59.938179685708896</v>
      </c>
      <c r="AC272" s="10">
        <f>100-(T$429-Tabell2[[#This Row],[Inntekt-T]])*100/T$432</f>
        <v>98.378318338331667</v>
      </c>
      <c r="AD27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80.73498429569338</v>
      </c>
    </row>
    <row r="273" spans="1:30" x14ac:dyDescent="0.25">
      <c r="A273" s="2" t="s">
        <v>267</v>
      </c>
      <c r="B273" s="2">
        <v>271</v>
      </c>
      <c r="C273">
        <f>'Rådata-K'!N272</f>
        <v>4</v>
      </c>
      <c r="D273" s="30">
        <f>'Rådata-K'!M272</f>
        <v>196.8125</v>
      </c>
      <c r="E273" s="32">
        <f>'Rådata-K'!O272</f>
        <v>35.659033468637517</v>
      </c>
      <c r="F273" s="32">
        <f>'Rådata-K'!P272</f>
        <v>8.2035788984429425E-2</v>
      </c>
      <c r="G273" s="32">
        <f>'Rådata-K'!Q272</f>
        <v>0.11232817869415808</v>
      </c>
      <c r="H273" s="32">
        <f>'Rådata-K'!R272</f>
        <v>0.16859965635738833</v>
      </c>
      <c r="I273" s="32">
        <f>'Rådata-K'!S272</f>
        <v>-1.3336566440349196E-2</v>
      </c>
      <c r="J273" s="32">
        <f>'Rådata-K'!T272</f>
        <v>0.87277936962750713</v>
      </c>
      <c r="K273" s="67">
        <f>'Rådata-K'!L272</f>
        <v>413500</v>
      </c>
      <c r="L273" s="18">
        <f>Tabell2[[#This Row],[NIBR11]]</f>
        <v>4</v>
      </c>
      <c r="M273" s="32">
        <f>IF(Tabell2[[#This Row],[ReisetidOslo]]&lt;=D$427,D$427,IF(Tabell2[[#This Row],[ReisetidOslo]]&gt;=D$428,D$428,Tabell2[[#This Row],[ReisetidOslo]]))</f>
        <v>196.8125</v>
      </c>
      <c r="N273" s="32">
        <f>IF(Tabell2[[#This Row],[Beftettotal]]&lt;=E$427,E$427,IF(Tabell2[[#This Row],[Beftettotal]]&gt;=E$428,E$428,Tabell2[[#This Row],[Beftettotal]]))</f>
        <v>35.659033468637517</v>
      </c>
      <c r="O273" s="32">
        <f>IF(Tabell2[[#This Row],[Befvekst10]]&lt;=F$427,F$427,IF(Tabell2[[#This Row],[Befvekst10]]&gt;=F$428,F$428,Tabell2[[#This Row],[Befvekst10]]))</f>
        <v>8.2035788984429425E-2</v>
      </c>
      <c r="P273" s="32">
        <f>IF(Tabell2[[#This Row],[Kvinneandel]]&lt;=G$427,G$427,IF(Tabell2[[#This Row],[Kvinneandel]]&gt;=G$428,G$428,Tabell2[[#This Row],[Kvinneandel]]))</f>
        <v>0.11232817869415808</v>
      </c>
      <c r="Q273" s="32">
        <f>IF(Tabell2[[#This Row],[Eldreandel]]&lt;=H$427,H$427,IF(Tabell2[[#This Row],[Eldreandel]]&gt;=H$428,H$428,Tabell2[[#This Row],[Eldreandel]]))</f>
        <v>0.16859965635738833</v>
      </c>
      <c r="R273" s="32">
        <f>IF(Tabell2[[#This Row],[Sysselsettingsvekst10]]&lt;=I$427,I$427,IF(Tabell2[[#This Row],[Sysselsettingsvekst10]]&gt;=I$428,I$428,Tabell2[[#This Row],[Sysselsettingsvekst10]]))</f>
        <v>-1.3336566440349196E-2</v>
      </c>
      <c r="S273" s="32">
        <f>IF(Tabell2[[#This Row],[Yrkesaktivandel]]&lt;=J$427,J$427,IF(Tabell2[[#This Row],[Yrkesaktivandel]]&gt;=J$428,J$428,Tabell2[[#This Row],[Yrkesaktivandel]]))</f>
        <v>0.87277936962750713</v>
      </c>
      <c r="T273" s="67">
        <f>IF(Tabell2[[#This Row],[Inntekt]]&lt;=K$427,K$427,IF(Tabell2[[#This Row],[Inntekt]]&gt;=K$428,K$428,Tabell2[[#This Row],[Inntekt]]))</f>
        <v>413500</v>
      </c>
      <c r="U273" s="10">
        <f>IF(Tabell2[[#This Row],[NIBR11-T]]&lt;=L$430,100,IF(Tabell2[[#This Row],[NIBR11-T]]&gt;=L$429,0,100*(L$429-Tabell2[[#This Row],[NIBR11-T]])/L$432))</f>
        <v>70</v>
      </c>
      <c r="V273" s="10">
        <f>(M$429-Tabell2[[#This Row],[ReisetidOslo-T]])*100/M$432</f>
        <v>38.739948636649743</v>
      </c>
      <c r="W273" s="10">
        <f>100-(N$429-Tabell2[[#This Row],[Beftettotal-T]])*100/N$432</f>
        <v>25.648650766600412</v>
      </c>
      <c r="X273" s="10">
        <f>100-(O$429-Tabell2[[#This Row],[Befvekst10-T]])*100/O$432</f>
        <v>58.827623158142721</v>
      </c>
      <c r="Y273" s="10">
        <f>100-(P$429-Tabell2[[#This Row],[Kvinneandel-T]])*100/P$432</f>
        <v>59.19548051526278</v>
      </c>
      <c r="Z273" s="10">
        <f>(Q$429-Tabell2[[#This Row],[Eldreandel-T]])*100/Q$432</f>
        <v>58.711330651695043</v>
      </c>
      <c r="AA273" s="10">
        <f>100-(R$429-Tabell2[[#This Row],[Sysselsettingsvekst10-T]])*100/R$432</f>
        <v>32.697514093909163</v>
      </c>
      <c r="AB273" s="10">
        <f>100-(S$429-Tabell2[[#This Row],[Yrkesaktivandel-T]])*100/S$432</f>
        <v>58.742807917671939</v>
      </c>
      <c r="AC273" s="10">
        <f>100-(T$429-Tabell2[[#This Row],[Inntekt-T]])*100/T$432</f>
        <v>60.39098078418305</v>
      </c>
      <c r="AD27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53.282855409877868</v>
      </c>
    </row>
    <row r="274" spans="1:30" x14ac:dyDescent="0.25">
      <c r="A274" s="2" t="s">
        <v>268</v>
      </c>
      <c r="B274" s="2">
        <v>272</v>
      </c>
      <c r="C274">
        <f>'Rådata-K'!N273</f>
        <v>4</v>
      </c>
      <c r="D274" s="30">
        <f>'Rådata-K'!M273</f>
        <v>209.9375</v>
      </c>
      <c r="E274" s="32">
        <f>'Rådata-K'!O273</f>
        <v>18.68359752286802</v>
      </c>
      <c r="F274" s="32">
        <f>'Rådata-K'!P273</f>
        <v>2.7335207747578805E-2</v>
      </c>
      <c r="G274" s="32">
        <f>'Rådata-K'!Q273</f>
        <v>0.1029344686027064</v>
      </c>
      <c r="H274" s="32">
        <f>'Rådata-K'!R273</f>
        <v>0.16831382089098373</v>
      </c>
      <c r="I274" s="32">
        <f>'Rådata-K'!S273</f>
        <v>-1.1574886004910523E-2</v>
      </c>
      <c r="J274" s="32">
        <f>'Rådata-K'!T273</f>
        <v>0.85106944811196195</v>
      </c>
      <c r="K274" s="67">
        <f>'Rådata-K'!L273</f>
        <v>385500</v>
      </c>
      <c r="L274" s="18">
        <f>Tabell2[[#This Row],[NIBR11]]</f>
        <v>4</v>
      </c>
      <c r="M274" s="32">
        <f>IF(Tabell2[[#This Row],[ReisetidOslo]]&lt;=D$427,D$427,IF(Tabell2[[#This Row],[ReisetidOslo]]&gt;=D$428,D$428,Tabell2[[#This Row],[ReisetidOslo]]))</f>
        <v>209.9375</v>
      </c>
      <c r="N274" s="32">
        <f>IF(Tabell2[[#This Row],[Beftettotal]]&lt;=E$427,E$427,IF(Tabell2[[#This Row],[Beftettotal]]&gt;=E$428,E$428,Tabell2[[#This Row],[Beftettotal]]))</f>
        <v>18.68359752286802</v>
      </c>
      <c r="O274" s="32">
        <f>IF(Tabell2[[#This Row],[Befvekst10]]&lt;=F$427,F$427,IF(Tabell2[[#This Row],[Befvekst10]]&gt;=F$428,F$428,Tabell2[[#This Row],[Befvekst10]]))</f>
        <v>2.7335207747578805E-2</v>
      </c>
      <c r="P274" s="32">
        <f>IF(Tabell2[[#This Row],[Kvinneandel]]&lt;=G$427,G$427,IF(Tabell2[[#This Row],[Kvinneandel]]&gt;=G$428,G$428,Tabell2[[#This Row],[Kvinneandel]]))</f>
        <v>0.1029344686027064</v>
      </c>
      <c r="Q274" s="32">
        <f>IF(Tabell2[[#This Row],[Eldreandel]]&lt;=H$427,H$427,IF(Tabell2[[#This Row],[Eldreandel]]&gt;=H$428,H$428,Tabell2[[#This Row],[Eldreandel]]))</f>
        <v>0.16831382089098373</v>
      </c>
      <c r="R274" s="32">
        <f>IF(Tabell2[[#This Row],[Sysselsettingsvekst10]]&lt;=I$427,I$427,IF(Tabell2[[#This Row],[Sysselsettingsvekst10]]&gt;=I$428,I$428,Tabell2[[#This Row],[Sysselsettingsvekst10]]))</f>
        <v>-1.1574886004910523E-2</v>
      </c>
      <c r="S274" s="32">
        <f>IF(Tabell2[[#This Row],[Yrkesaktivandel]]&lt;=J$427,J$427,IF(Tabell2[[#This Row],[Yrkesaktivandel]]&gt;=J$428,J$428,Tabell2[[#This Row],[Yrkesaktivandel]]))</f>
        <v>0.85106944811196195</v>
      </c>
      <c r="T274" s="67">
        <f>IF(Tabell2[[#This Row],[Inntekt]]&lt;=K$427,K$427,IF(Tabell2[[#This Row],[Inntekt]]&gt;=K$428,K$428,Tabell2[[#This Row],[Inntekt]]))</f>
        <v>385500</v>
      </c>
      <c r="U274" s="10">
        <f>IF(Tabell2[[#This Row],[NIBR11-T]]&lt;=L$430,100,IF(Tabell2[[#This Row],[NIBR11-T]]&gt;=L$429,0,100*(L$429-Tabell2[[#This Row],[NIBR11-T]])/L$432))</f>
        <v>70</v>
      </c>
      <c r="V274" s="10">
        <f>(M$429-Tabell2[[#This Row],[ReisetidOslo-T]])*100/M$432</f>
        <v>33.085267873671754</v>
      </c>
      <c r="W274" s="10">
        <f>100-(N$429-Tabell2[[#This Row],[Beftettotal-T]])*100/N$432</f>
        <v>12.996758858337216</v>
      </c>
      <c r="X274" s="10">
        <f>100-(O$429-Tabell2[[#This Row],[Befvekst10-T]])*100/O$432</f>
        <v>35.263990936318052</v>
      </c>
      <c r="Y274" s="10">
        <f>100-(P$429-Tabell2[[#This Row],[Kvinneandel-T]])*100/P$432</f>
        <v>34.383844058326829</v>
      </c>
      <c r="Z274" s="10">
        <f>(Q$429-Tabell2[[#This Row],[Eldreandel-T]])*100/Q$432</f>
        <v>59.019636292905382</v>
      </c>
      <c r="AA274" s="10">
        <f>100-(R$429-Tabell2[[#This Row],[Sysselsettingsvekst10-T]])*100/R$432</f>
        <v>33.313827663739488</v>
      </c>
      <c r="AB274" s="10">
        <f>100-(S$429-Tabell2[[#This Row],[Yrkesaktivandel-T]])*100/S$432</f>
        <v>41.903640596888948</v>
      </c>
      <c r="AC274" s="10">
        <f>100-(T$429-Tabell2[[#This Row],[Inntekt-T]])*100/T$432</f>
        <v>29.29023658780406</v>
      </c>
      <c r="AD27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40.781945362869372</v>
      </c>
    </row>
    <row r="275" spans="1:30" x14ac:dyDescent="0.25">
      <c r="A275" s="2" t="s">
        <v>269</v>
      </c>
      <c r="B275" s="2">
        <v>273</v>
      </c>
      <c r="C275">
        <f>'Rådata-K'!N274</f>
        <v>5</v>
      </c>
      <c r="D275" s="30">
        <f>'Rådata-K'!M274</f>
        <v>208.875</v>
      </c>
      <c r="E275" s="32">
        <f>'Rådata-K'!O274</f>
        <v>4.9948407282894518</v>
      </c>
      <c r="F275" s="32">
        <f>'Rådata-K'!P274</f>
        <v>2.4300341296928263E-2</v>
      </c>
      <c r="G275" s="32">
        <f>'Rådata-K'!Q274</f>
        <v>0.10169265627082501</v>
      </c>
      <c r="H275" s="32">
        <f>'Rådata-K'!R274</f>
        <v>0.19232307077169133</v>
      </c>
      <c r="I275" s="32">
        <f>'Rådata-K'!S274</f>
        <v>-3.3972125435540068E-2</v>
      </c>
      <c r="J275" s="32">
        <f>'Rådata-K'!T274</f>
        <v>0.88805609284332687</v>
      </c>
      <c r="K275" s="67">
        <f>'Rådata-K'!L274</f>
        <v>399500</v>
      </c>
      <c r="L275" s="18">
        <f>Tabell2[[#This Row],[NIBR11]]</f>
        <v>5</v>
      </c>
      <c r="M275" s="32">
        <f>IF(Tabell2[[#This Row],[ReisetidOslo]]&lt;=D$427,D$427,IF(Tabell2[[#This Row],[ReisetidOslo]]&gt;=D$428,D$428,Tabell2[[#This Row],[ReisetidOslo]]))</f>
        <v>208.875</v>
      </c>
      <c r="N275" s="32">
        <f>IF(Tabell2[[#This Row],[Beftettotal]]&lt;=E$427,E$427,IF(Tabell2[[#This Row],[Beftettotal]]&gt;=E$428,E$428,Tabell2[[#This Row],[Beftettotal]]))</f>
        <v>4.9948407282894518</v>
      </c>
      <c r="O275" s="32">
        <f>IF(Tabell2[[#This Row],[Befvekst10]]&lt;=F$427,F$427,IF(Tabell2[[#This Row],[Befvekst10]]&gt;=F$428,F$428,Tabell2[[#This Row],[Befvekst10]]))</f>
        <v>2.4300341296928263E-2</v>
      </c>
      <c r="P275" s="32">
        <f>IF(Tabell2[[#This Row],[Kvinneandel]]&lt;=G$427,G$427,IF(Tabell2[[#This Row],[Kvinneandel]]&gt;=G$428,G$428,Tabell2[[#This Row],[Kvinneandel]]))</f>
        <v>0.10169265627082501</v>
      </c>
      <c r="Q275" s="32">
        <f>IF(Tabell2[[#This Row],[Eldreandel]]&lt;=H$427,H$427,IF(Tabell2[[#This Row],[Eldreandel]]&gt;=H$428,H$428,Tabell2[[#This Row],[Eldreandel]]))</f>
        <v>0.19232307077169133</v>
      </c>
      <c r="R275" s="32">
        <f>IF(Tabell2[[#This Row],[Sysselsettingsvekst10]]&lt;=I$427,I$427,IF(Tabell2[[#This Row],[Sysselsettingsvekst10]]&gt;=I$428,I$428,Tabell2[[#This Row],[Sysselsettingsvekst10]]))</f>
        <v>-3.3972125435540068E-2</v>
      </c>
      <c r="S275" s="32">
        <f>IF(Tabell2[[#This Row],[Yrkesaktivandel]]&lt;=J$427,J$427,IF(Tabell2[[#This Row],[Yrkesaktivandel]]&gt;=J$428,J$428,Tabell2[[#This Row],[Yrkesaktivandel]]))</f>
        <v>0.88805609284332687</v>
      </c>
      <c r="T275" s="67">
        <f>IF(Tabell2[[#This Row],[Inntekt]]&lt;=K$427,K$427,IF(Tabell2[[#This Row],[Inntekt]]&gt;=K$428,K$428,Tabell2[[#This Row],[Inntekt]]))</f>
        <v>399500</v>
      </c>
      <c r="U275" s="10">
        <f>IF(Tabell2[[#This Row],[NIBR11-T]]&lt;=L$430,100,IF(Tabell2[[#This Row],[NIBR11-T]]&gt;=L$429,0,100*(L$429-Tabell2[[#This Row],[NIBR11-T]])/L$432))</f>
        <v>60</v>
      </c>
      <c r="V275" s="10">
        <f>(M$429-Tabell2[[#This Row],[ReisetidOslo-T]])*100/M$432</f>
        <v>33.543027744960447</v>
      </c>
      <c r="W275" s="10">
        <f>100-(N$429-Tabell2[[#This Row],[Beftettotal-T]])*100/N$432</f>
        <v>2.7944481856224002</v>
      </c>
      <c r="X275" s="10">
        <f>100-(O$429-Tabell2[[#This Row],[Befvekst10-T]])*100/O$432</f>
        <v>33.956646932497719</v>
      </c>
      <c r="Y275" s="10">
        <f>100-(P$429-Tabell2[[#This Row],[Kvinneandel-T]])*100/P$432</f>
        <v>31.103841181250658</v>
      </c>
      <c r="Z275" s="10">
        <f>(Q$429-Tabell2[[#This Row],[Eldreandel-T]])*100/Q$432</f>
        <v>33.122964782683553</v>
      </c>
      <c r="AA275" s="10">
        <f>100-(R$429-Tabell2[[#This Row],[Sysselsettingsvekst10-T]])*100/R$432</f>
        <v>25.478284786521357</v>
      </c>
      <c r="AB275" s="10">
        <f>100-(S$429-Tabell2[[#This Row],[Yrkesaktivandel-T]])*100/S$432</f>
        <v>70.59210447824583</v>
      </c>
      <c r="AC275" s="10">
        <f>100-(T$429-Tabell2[[#This Row],[Inntekt-T]])*100/T$432</f>
        <v>44.840608685993558</v>
      </c>
      <c r="AD27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39.727517072830622</v>
      </c>
    </row>
    <row r="276" spans="1:30" x14ac:dyDescent="0.25">
      <c r="A276" s="2" t="s">
        <v>270</v>
      </c>
      <c r="B276" s="2">
        <v>274</v>
      </c>
      <c r="C276">
        <f>'Rådata-K'!N275</f>
        <v>4</v>
      </c>
      <c r="D276" s="30">
        <f>'Rådata-K'!M275</f>
        <v>192.125</v>
      </c>
      <c r="E276" s="32">
        <f>'Rådata-K'!O275</f>
        <v>2.8325064288240749</v>
      </c>
      <c r="F276" s="32">
        <f>'Rådata-K'!P275</f>
        <v>-4.0479274611398997E-2</v>
      </c>
      <c r="G276" s="32">
        <f>'Rådata-K'!Q275</f>
        <v>9.6861289233884582E-2</v>
      </c>
      <c r="H276" s="32">
        <f>'Rådata-K'!R275</f>
        <v>0.19709753628079649</v>
      </c>
      <c r="I276" s="32">
        <f>'Rådata-K'!S275</f>
        <v>-0.2725738396624473</v>
      </c>
      <c r="J276" s="32">
        <f>'Rådata-K'!T275</f>
        <v>0.84924924924924927</v>
      </c>
      <c r="K276" s="67">
        <f>'Rådata-K'!L275</f>
        <v>392000</v>
      </c>
      <c r="L276" s="18">
        <f>Tabell2[[#This Row],[NIBR11]]</f>
        <v>4</v>
      </c>
      <c r="M276" s="32">
        <f>IF(Tabell2[[#This Row],[ReisetidOslo]]&lt;=D$427,D$427,IF(Tabell2[[#This Row],[ReisetidOslo]]&gt;=D$428,D$428,Tabell2[[#This Row],[ReisetidOslo]]))</f>
        <v>192.125</v>
      </c>
      <c r="N276" s="32">
        <f>IF(Tabell2[[#This Row],[Beftettotal]]&lt;=E$427,E$427,IF(Tabell2[[#This Row],[Beftettotal]]&gt;=E$428,E$428,Tabell2[[#This Row],[Beftettotal]]))</f>
        <v>2.8325064288240749</v>
      </c>
      <c r="O276" s="32">
        <f>IF(Tabell2[[#This Row],[Befvekst10]]&lt;=F$427,F$427,IF(Tabell2[[#This Row],[Befvekst10]]&gt;=F$428,F$428,Tabell2[[#This Row],[Befvekst10]]))</f>
        <v>-4.0479274611398997E-2</v>
      </c>
      <c r="P276" s="32">
        <f>IF(Tabell2[[#This Row],[Kvinneandel]]&lt;=G$427,G$427,IF(Tabell2[[#This Row],[Kvinneandel]]&gt;=G$428,G$428,Tabell2[[#This Row],[Kvinneandel]]))</f>
        <v>9.6861289233884582E-2</v>
      </c>
      <c r="Q276" s="32">
        <f>IF(Tabell2[[#This Row],[Eldreandel]]&lt;=H$427,H$427,IF(Tabell2[[#This Row],[Eldreandel]]&gt;=H$428,H$428,Tabell2[[#This Row],[Eldreandel]]))</f>
        <v>0.19709753628079649</v>
      </c>
      <c r="R276" s="32">
        <f>IF(Tabell2[[#This Row],[Sysselsettingsvekst10]]&lt;=I$427,I$427,IF(Tabell2[[#This Row],[Sysselsettingsvekst10]]&gt;=I$428,I$428,Tabell2[[#This Row],[Sysselsettingsvekst10]]))</f>
        <v>-0.10679965679965678</v>
      </c>
      <c r="S276" s="32">
        <f>IF(Tabell2[[#This Row],[Yrkesaktivandel]]&lt;=J$427,J$427,IF(Tabell2[[#This Row],[Yrkesaktivandel]]&gt;=J$428,J$428,Tabell2[[#This Row],[Yrkesaktivandel]]))</f>
        <v>0.84924924924924927</v>
      </c>
      <c r="T276" s="67">
        <f>IF(Tabell2[[#This Row],[Inntekt]]&lt;=K$427,K$427,IF(Tabell2[[#This Row],[Inntekt]]&gt;=K$428,K$428,Tabell2[[#This Row],[Inntekt]]))</f>
        <v>392000</v>
      </c>
      <c r="U276" s="10">
        <f>IF(Tabell2[[#This Row],[NIBR11-T]]&lt;=L$430,100,IF(Tabell2[[#This Row],[NIBR11-T]]&gt;=L$429,0,100*(L$429-Tabell2[[#This Row],[NIBR11-T]])/L$432))</f>
        <v>70</v>
      </c>
      <c r="V276" s="10">
        <f>(M$429-Tabell2[[#This Row],[ReisetidOslo-T]])*100/M$432</f>
        <v>40.75947748057046</v>
      </c>
      <c r="W276" s="10">
        <f>100-(N$429-Tabell2[[#This Row],[Beftettotal-T]])*100/N$432</f>
        <v>1.1828477581715902</v>
      </c>
      <c r="X276" s="10">
        <f>100-(O$429-Tabell2[[#This Row],[Befvekst10-T]])*100/O$432</f>
        <v>6.0512205143492821</v>
      </c>
      <c r="Y276" s="10">
        <f>100-(P$429-Tabell2[[#This Row],[Kvinneandel-T]])*100/P$432</f>
        <v>18.342736000915593</v>
      </c>
      <c r="Z276" s="10">
        <f>(Q$429-Tabell2[[#This Row],[Eldreandel-T]])*100/Q$432</f>
        <v>27.973167702786775</v>
      </c>
      <c r="AA276" s="10">
        <f>100-(R$429-Tabell2[[#This Row],[Sysselsettingsvekst10-T]])*100/R$432</f>
        <v>0</v>
      </c>
      <c r="AB276" s="10">
        <f>100-(S$429-Tabell2[[#This Row],[Yrkesaktivandel-T]])*100/S$432</f>
        <v>40.491814525368127</v>
      </c>
      <c r="AC276" s="10">
        <f>100-(T$429-Tabell2[[#This Row],[Inntekt-T]])*100/T$432</f>
        <v>36.510052204820617</v>
      </c>
      <c r="AD27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29.420458484948057</v>
      </c>
    </row>
    <row r="277" spans="1:30" x14ac:dyDescent="0.25">
      <c r="A277" s="2" t="s">
        <v>271</v>
      </c>
      <c r="B277" s="2">
        <v>275</v>
      </c>
      <c r="C277">
        <f>'Rådata-K'!N276</f>
        <v>4</v>
      </c>
      <c r="D277" s="30">
        <f>'Rådata-K'!M276</f>
        <v>194.875</v>
      </c>
      <c r="E277" s="32">
        <f>'Rådata-K'!O276</f>
        <v>22.028526148969888</v>
      </c>
      <c r="F277" s="32">
        <f>'Rådata-K'!P276</f>
        <v>9.1623036649214562E-2</v>
      </c>
      <c r="G277" s="32">
        <f>'Rådata-K'!Q276</f>
        <v>0.10119904076738609</v>
      </c>
      <c r="H277" s="32">
        <f>'Rådata-K'!R276</f>
        <v>0.18848920863309351</v>
      </c>
      <c r="I277" s="32">
        <f>'Rådata-K'!S276</f>
        <v>8.2051282051281982E-2</v>
      </c>
      <c r="J277" s="32">
        <f>'Rådata-K'!T276</f>
        <v>0.89106145251396651</v>
      </c>
      <c r="K277" s="67">
        <f>'Rådata-K'!L276</f>
        <v>413600</v>
      </c>
      <c r="L277" s="18">
        <f>Tabell2[[#This Row],[NIBR11]]</f>
        <v>4</v>
      </c>
      <c r="M277" s="32">
        <f>IF(Tabell2[[#This Row],[ReisetidOslo]]&lt;=D$427,D$427,IF(Tabell2[[#This Row],[ReisetidOslo]]&gt;=D$428,D$428,Tabell2[[#This Row],[ReisetidOslo]]))</f>
        <v>194.875</v>
      </c>
      <c r="N277" s="32">
        <f>IF(Tabell2[[#This Row],[Beftettotal]]&lt;=E$427,E$427,IF(Tabell2[[#This Row],[Beftettotal]]&gt;=E$428,E$428,Tabell2[[#This Row],[Beftettotal]]))</f>
        <v>22.028526148969888</v>
      </c>
      <c r="O277" s="32">
        <f>IF(Tabell2[[#This Row],[Befvekst10]]&lt;=F$427,F$427,IF(Tabell2[[#This Row],[Befvekst10]]&gt;=F$428,F$428,Tabell2[[#This Row],[Befvekst10]]))</f>
        <v>9.1623036649214562E-2</v>
      </c>
      <c r="P277" s="32">
        <f>IF(Tabell2[[#This Row],[Kvinneandel]]&lt;=G$427,G$427,IF(Tabell2[[#This Row],[Kvinneandel]]&gt;=G$428,G$428,Tabell2[[#This Row],[Kvinneandel]]))</f>
        <v>0.10119904076738609</v>
      </c>
      <c r="Q277" s="32">
        <f>IF(Tabell2[[#This Row],[Eldreandel]]&lt;=H$427,H$427,IF(Tabell2[[#This Row],[Eldreandel]]&gt;=H$428,H$428,Tabell2[[#This Row],[Eldreandel]]))</f>
        <v>0.18848920863309351</v>
      </c>
      <c r="R277" s="32">
        <f>IF(Tabell2[[#This Row],[Sysselsettingsvekst10]]&lt;=I$427,I$427,IF(Tabell2[[#This Row],[Sysselsettingsvekst10]]&gt;=I$428,I$428,Tabell2[[#This Row],[Sysselsettingsvekst10]]))</f>
        <v>8.2051282051281982E-2</v>
      </c>
      <c r="S277" s="32">
        <f>IF(Tabell2[[#This Row],[Yrkesaktivandel]]&lt;=J$427,J$427,IF(Tabell2[[#This Row],[Yrkesaktivandel]]&gt;=J$428,J$428,Tabell2[[#This Row],[Yrkesaktivandel]]))</f>
        <v>0.89106145251396651</v>
      </c>
      <c r="T277" s="67">
        <f>IF(Tabell2[[#This Row],[Inntekt]]&lt;=K$427,K$427,IF(Tabell2[[#This Row],[Inntekt]]&gt;=K$428,K$428,Tabell2[[#This Row],[Inntekt]]))</f>
        <v>413600</v>
      </c>
      <c r="U277" s="10">
        <f>IF(Tabell2[[#This Row],[NIBR11-T]]&lt;=L$430,100,IF(Tabell2[[#This Row],[NIBR11-T]]&gt;=L$429,0,100*(L$429-Tabell2[[#This Row],[NIBR11-T]])/L$432))</f>
        <v>70</v>
      </c>
      <c r="V277" s="10">
        <f>(M$429-Tabell2[[#This Row],[ReisetidOslo-T]])*100/M$432</f>
        <v>39.574687225470306</v>
      </c>
      <c r="W277" s="10">
        <f>100-(N$429-Tabell2[[#This Row],[Beftettotal-T]])*100/N$432</f>
        <v>15.48975376895352</v>
      </c>
      <c r="X277" s="10">
        <f>100-(O$429-Tabell2[[#This Row],[Befvekst10-T]])*100/O$432</f>
        <v>62.957567902502277</v>
      </c>
      <c r="Y277" s="10">
        <f>100-(P$429-Tabell2[[#This Row],[Kvinneandel-T]])*100/P$432</f>
        <v>29.800052975994134</v>
      </c>
      <c r="Z277" s="10">
        <f>(Q$429-Tabell2[[#This Row],[Eldreandel-T]])*100/Q$432</f>
        <v>37.258215526128197</v>
      </c>
      <c r="AA277" s="10">
        <f>100-(R$429-Tabell2[[#This Row],[Sysselsettingsvekst10-T]])*100/R$432</f>
        <v>66.068393533614937</v>
      </c>
      <c r="AB277" s="10">
        <f>100-(S$429-Tabell2[[#This Row],[Yrkesaktivandel-T]])*100/S$432</f>
        <v>72.923193253338667</v>
      </c>
      <c r="AC277" s="10">
        <f>100-(T$429-Tabell2[[#This Row],[Inntekt-T]])*100/T$432</f>
        <v>60.502054870598691</v>
      </c>
      <c r="AD27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55.400235270804188</v>
      </c>
    </row>
    <row r="278" spans="1:30" x14ac:dyDescent="0.25">
      <c r="A278" s="2" t="s">
        <v>272</v>
      </c>
      <c r="B278" s="2">
        <v>276</v>
      </c>
      <c r="C278">
        <f>'Rådata-K'!N277</f>
        <v>11</v>
      </c>
      <c r="D278" s="30">
        <f>'Rådata-K'!M277</f>
        <v>263.625</v>
      </c>
      <c r="E278" s="32">
        <f>'Rådata-K'!O277</f>
        <v>58.142790480634623</v>
      </c>
      <c r="F278" s="32">
        <f>'Rådata-K'!P277</f>
        <v>-2.3510971786833812E-2</v>
      </c>
      <c r="G278" s="32">
        <f>'Rådata-K'!Q277</f>
        <v>8.5072231139646876E-2</v>
      </c>
      <c r="H278" s="32">
        <f>'Rådata-K'!R277</f>
        <v>0.19903691813804172</v>
      </c>
      <c r="I278" s="32">
        <f>'Rådata-K'!S277</f>
        <v>3.0158730158730052E-2</v>
      </c>
      <c r="J278" s="32">
        <f>'Rådata-K'!T277</f>
        <v>0.94345238095238093</v>
      </c>
      <c r="K278" s="67">
        <f>'Rådata-K'!L277</f>
        <v>478700</v>
      </c>
      <c r="L278" s="18">
        <f>Tabell2[[#This Row],[NIBR11]]</f>
        <v>11</v>
      </c>
      <c r="M278" s="32">
        <f>IF(Tabell2[[#This Row],[ReisetidOslo]]&lt;=D$427,D$427,IF(Tabell2[[#This Row],[ReisetidOslo]]&gt;=D$428,D$428,Tabell2[[#This Row],[ReisetidOslo]]))</f>
        <v>263.625</v>
      </c>
      <c r="N278" s="32">
        <f>IF(Tabell2[[#This Row],[Beftettotal]]&lt;=E$427,E$427,IF(Tabell2[[#This Row],[Beftettotal]]&gt;=E$428,E$428,Tabell2[[#This Row],[Beftettotal]]))</f>
        <v>58.142790480634623</v>
      </c>
      <c r="O278" s="32">
        <f>IF(Tabell2[[#This Row],[Befvekst10]]&lt;=F$427,F$427,IF(Tabell2[[#This Row],[Befvekst10]]&gt;=F$428,F$428,Tabell2[[#This Row],[Befvekst10]]))</f>
        <v>-2.3510971786833812E-2</v>
      </c>
      <c r="P278" s="32">
        <f>IF(Tabell2[[#This Row],[Kvinneandel]]&lt;=G$427,G$427,IF(Tabell2[[#This Row],[Kvinneandel]]&gt;=G$428,G$428,Tabell2[[#This Row],[Kvinneandel]]))</f>
        <v>8.9916711250255951E-2</v>
      </c>
      <c r="Q278" s="32">
        <f>IF(Tabell2[[#This Row],[Eldreandel]]&lt;=H$427,H$427,IF(Tabell2[[#This Row],[Eldreandel]]&gt;=H$428,H$428,Tabell2[[#This Row],[Eldreandel]]))</f>
        <v>0.19903691813804172</v>
      </c>
      <c r="R278" s="32">
        <f>IF(Tabell2[[#This Row],[Sysselsettingsvekst10]]&lt;=I$427,I$427,IF(Tabell2[[#This Row],[Sysselsettingsvekst10]]&gt;=I$428,I$428,Tabell2[[#This Row],[Sysselsettingsvekst10]]))</f>
        <v>3.0158730158730052E-2</v>
      </c>
      <c r="S278" s="32">
        <f>IF(Tabell2[[#This Row],[Yrkesaktivandel]]&lt;=J$427,J$427,IF(Tabell2[[#This Row],[Yrkesaktivandel]]&gt;=J$428,J$428,Tabell2[[#This Row],[Yrkesaktivandel]]))</f>
        <v>0.92597026588718434</v>
      </c>
      <c r="T278" s="67">
        <f>IF(Tabell2[[#This Row],[Inntekt]]&lt;=K$427,K$427,IF(Tabell2[[#This Row],[Inntekt]]&gt;=K$428,K$428,Tabell2[[#This Row],[Inntekt]]))</f>
        <v>449160</v>
      </c>
      <c r="U278" s="10">
        <f>IF(Tabell2[[#This Row],[NIBR11-T]]&lt;=L$430,100,IF(Tabell2[[#This Row],[NIBR11-T]]&gt;=L$429,0,100*(L$429-Tabell2[[#This Row],[NIBR11-T]])/L$432))</f>
        <v>0</v>
      </c>
      <c r="V278" s="10">
        <f>(M$429-Tabell2[[#This Row],[ReisetidOslo-T]])*100/M$432</f>
        <v>9.9549308479665211</v>
      </c>
      <c r="W278" s="10">
        <f>100-(N$429-Tabell2[[#This Row],[Beftettotal-T]])*100/N$432</f>
        <v>42.405926651366926</v>
      </c>
      <c r="X278" s="10">
        <f>100-(O$429-Tabell2[[#This Row],[Befvekst10-T]])*100/O$432</f>
        <v>13.360737856684992</v>
      </c>
      <c r="Y278" s="10">
        <f>100-(P$429-Tabell2[[#This Row],[Kvinneandel-T]])*100/P$432</f>
        <v>0</v>
      </c>
      <c r="Z278" s="10">
        <f>(Q$429-Tabell2[[#This Row],[Eldreandel-T]])*100/Q$432</f>
        <v>25.881326635718683</v>
      </c>
      <c r="AA278" s="10">
        <f>100-(R$429-Tabell2[[#This Row],[Sysselsettingsvekst10-T]])*100/R$432</f>
        <v>47.914088552336771</v>
      </c>
      <c r="AB278" s="10">
        <f>100-(S$429-Tabell2[[#This Row],[Yrkesaktivandel-T]])*100/S$432</f>
        <v>100</v>
      </c>
      <c r="AC278" s="10">
        <f>100-(T$429-Tabell2[[#This Row],[Inntekt-T]])*100/T$432</f>
        <v>100</v>
      </c>
      <c r="AD27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33.993708508289956</v>
      </c>
    </row>
    <row r="279" spans="1:30" x14ac:dyDescent="0.25">
      <c r="A279" s="2" t="s">
        <v>273</v>
      </c>
      <c r="B279" s="2">
        <v>277</v>
      </c>
      <c r="C279">
        <f>'Rådata-K'!N278</f>
        <v>4</v>
      </c>
      <c r="D279" s="30">
        <f>'Rådata-K'!M278</f>
        <v>191.96875</v>
      </c>
      <c r="E279" s="32">
        <f>'Rådata-K'!O278</f>
        <v>60.037237643872707</v>
      </c>
      <c r="F279" s="32">
        <f>'Rådata-K'!P278</f>
        <v>0.12889879057924891</v>
      </c>
      <c r="G279" s="32">
        <f>'Rådata-K'!Q278</f>
        <v>0.12010149422046801</v>
      </c>
      <c r="H279" s="32">
        <f>'Rådata-K'!R278</f>
        <v>0.16972089089371301</v>
      </c>
      <c r="I279" s="32">
        <f>'Rådata-K'!S278</f>
        <v>6.4074874010079164E-2</v>
      </c>
      <c r="J279" s="32">
        <f>'Rådata-K'!T278</f>
        <v>0.86812045690550366</v>
      </c>
      <c r="K279" s="67">
        <f>'Rådata-K'!L278</f>
        <v>440000</v>
      </c>
      <c r="L279" s="18">
        <f>Tabell2[[#This Row],[NIBR11]]</f>
        <v>4</v>
      </c>
      <c r="M279" s="32">
        <f>IF(Tabell2[[#This Row],[ReisetidOslo]]&lt;=D$427,D$427,IF(Tabell2[[#This Row],[ReisetidOslo]]&gt;=D$428,D$428,Tabell2[[#This Row],[ReisetidOslo]]))</f>
        <v>191.96875</v>
      </c>
      <c r="N279" s="32">
        <f>IF(Tabell2[[#This Row],[Beftettotal]]&lt;=E$427,E$427,IF(Tabell2[[#This Row],[Beftettotal]]&gt;=E$428,E$428,Tabell2[[#This Row],[Beftettotal]]))</f>
        <v>60.037237643872707</v>
      </c>
      <c r="O279" s="32">
        <f>IF(Tabell2[[#This Row],[Befvekst10]]&lt;=F$427,F$427,IF(Tabell2[[#This Row],[Befvekst10]]&gt;=F$428,F$428,Tabell2[[#This Row],[Befvekst10]]))</f>
        <v>0.12889879057924891</v>
      </c>
      <c r="P279" s="32">
        <f>IF(Tabell2[[#This Row],[Kvinneandel]]&lt;=G$427,G$427,IF(Tabell2[[#This Row],[Kvinneandel]]&gt;=G$428,G$428,Tabell2[[#This Row],[Kvinneandel]]))</f>
        <v>0.12010149422046801</v>
      </c>
      <c r="Q279" s="32">
        <f>IF(Tabell2[[#This Row],[Eldreandel]]&lt;=H$427,H$427,IF(Tabell2[[#This Row],[Eldreandel]]&gt;=H$428,H$428,Tabell2[[#This Row],[Eldreandel]]))</f>
        <v>0.16972089089371301</v>
      </c>
      <c r="R279" s="32">
        <f>IF(Tabell2[[#This Row],[Sysselsettingsvekst10]]&lt;=I$427,I$427,IF(Tabell2[[#This Row],[Sysselsettingsvekst10]]&gt;=I$428,I$428,Tabell2[[#This Row],[Sysselsettingsvekst10]]))</f>
        <v>6.4074874010079164E-2</v>
      </c>
      <c r="S279" s="32">
        <f>IF(Tabell2[[#This Row],[Yrkesaktivandel]]&lt;=J$427,J$427,IF(Tabell2[[#This Row],[Yrkesaktivandel]]&gt;=J$428,J$428,Tabell2[[#This Row],[Yrkesaktivandel]]))</f>
        <v>0.86812045690550366</v>
      </c>
      <c r="T279" s="67">
        <f>IF(Tabell2[[#This Row],[Inntekt]]&lt;=K$427,K$427,IF(Tabell2[[#This Row],[Inntekt]]&gt;=K$428,K$428,Tabell2[[#This Row],[Inntekt]]))</f>
        <v>440000</v>
      </c>
      <c r="U279" s="10">
        <f>IF(Tabell2[[#This Row],[NIBR11-T]]&lt;=L$430,100,IF(Tabell2[[#This Row],[NIBR11-T]]&gt;=L$429,0,100*(L$429-Tabell2[[#This Row],[NIBR11-T]])/L$432))</f>
        <v>70</v>
      </c>
      <c r="V279" s="10">
        <f>(M$429-Tabell2[[#This Row],[ReisetidOslo-T]])*100/M$432</f>
        <v>40.826795108701148</v>
      </c>
      <c r="W279" s="10">
        <f>100-(N$429-Tabell2[[#This Row],[Beftettotal-T]])*100/N$432</f>
        <v>43.81786922602447</v>
      </c>
      <c r="X279" s="10">
        <f>100-(O$429-Tabell2[[#This Row],[Befvekst10-T]])*100/O$432</f>
        <v>79.015023537120612</v>
      </c>
      <c r="Y279" s="10">
        <f>100-(P$429-Tabell2[[#This Row],[Kvinneandel-T]])*100/P$432</f>
        <v>79.727163633668695</v>
      </c>
      <c r="Z279" s="10">
        <f>(Q$429-Tabell2[[#This Row],[Eldreandel-T]])*100/Q$432</f>
        <v>57.50195332348256</v>
      </c>
      <c r="AA279" s="10">
        <f>100-(R$429-Tabell2[[#This Row],[Sysselsettingsvekst10-T]])*100/R$432</f>
        <v>59.779452594197814</v>
      </c>
      <c r="AB279" s="10">
        <f>100-(S$429-Tabell2[[#This Row],[Yrkesaktivandel-T]])*100/S$432</f>
        <v>55.129150871396291</v>
      </c>
      <c r="AC279" s="10">
        <f>100-(T$429-Tabell2[[#This Row],[Inntekt-T]])*100/T$432</f>
        <v>89.82561368432745</v>
      </c>
      <c r="AD27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65.602348703746415</v>
      </c>
    </row>
    <row r="280" spans="1:30" x14ac:dyDescent="0.25">
      <c r="A280" s="2" t="s">
        <v>274</v>
      </c>
      <c r="B280" s="2">
        <v>278</v>
      </c>
      <c r="C280">
        <f>'Rådata-K'!N279</f>
        <v>4</v>
      </c>
      <c r="D280" s="30">
        <f>'Rådata-K'!M279</f>
        <v>166.25</v>
      </c>
      <c r="E280" s="32">
        <f>'Rådata-K'!O279</f>
        <v>26.345540109265968</v>
      </c>
      <c r="F280" s="32">
        <f>'Rådata-K'!P279</f>
        <v>6.6805388237870966E-2</v>
      </c>
      <c r="G280" s="32">
        <f>'Rådata-K'!Q279</f>
        <v>0.11754439995893645</v>
      </c>
      <c r="H280" s="32">
        <f>'Rådata-K'!R279</f>
        <v>0.15624679191048146</v>
      </c>
      <c r="I280" s="32">
        <f>'Rådata-K'!S279</f>
        <v>-3.1827223643080438E-2</v>
      </c>
      <c r="J280" s="32">
        <f>'Rådata-K'!T279</f>
        <v>0.88967391304347831</v>
      </c>
      <c r="K280" s="67">
        <f>'Rådata-K'!L279</f>
        <v>416200</v>
      </c>
      <c r="L280" s="18">
        <f>Tabell2[[#This Row],[NIBR11]]</f>
        <v>4</v>
      </c>
      <c r="M280" s="32">
        <f>IF(Tabell2[[#This Row],[ReisetidOslo]]&lt;=D$427,D$427,IF(Tabell2[[#This Row],[ReisetidOslo]]&gt;=D$428,D$428,Tabell2[[#This Row],[ReisetidOslo]]))</f>
        <v>166.25</v>
      </c>
      <c r="N280" s="32">
        <f>IF(Tabell2[[#This Row],[Beftettotal]]&lt;=E$427,E$427,IF(Tabell2[[#This Row],[Beftettotal]]&gt;=E$428,E$428,Tabell2[[#This Row],[Beftettotal]]))</f>
        <v>26.345540109265968</v>
      </c>
      <c r="O280" s="32">
        <f>IF(Tabell2[[#This Row],[Befvekst10]]&lt;=F$427,F$427,IF(Tabell2[[#This Row],[Befvekst10]]&gt;=F$428,F$428,Tabell2[[#This Row],[Befvekst10]]))</f>
        <v>6.6805388237870966E-2</v>
      </c>
      <c r="P280" s="32">
        <f>IF(Tabell2[[#This Row],[Kvinneandel]]&lt;=G$427,G$427,IF(Tabell2[[#This Row],[Kvinneandel]]&gt;=G$428,G$428,Tabell2[[#This Row],[Kvinneandel]]))</f>
        <v>0.11754439995893645</v>
      </c>
      <c r="Q280" s="32">
        <f>IF(Tabell2[[#This Row],[Eldreandel]]&lt;=H$427,H$427,IF(Tabell2[[#This Row],[Eldreandel]]&gt;=H$428,H$428,Tabell2[[#This Row],[Eldreandel]]))</f>
        <v>0.15624679191048146</v>
      </c>
      <c r="R280" s="32">
        <f>IF(Tabell2[[#This Row],[Sysselsettingsvekst10]]&lt;=I$427,I$427,IF(Tabell2[[#This Row],[Sysselsettingsvekst10]]&gt;=I$428,I$428,Tabell2[[#This Row],[Sysselsettingsvekst10]]))</f>
        <v>-3.1827223643080438E-2</v>
      </c>
      <c r="S280" s="32">
        <f>IF(Tabell2[[#This Row],[Yrkesaktivandel]]&lt;=J$427,J$427,IF(Tabell2[[#This Row],[Yrkesaktivandel]]&gt;=J$428,J$428,Tabell2[[#This Row],[Yrkesaktivandel]]))</f>
        <v>0.88967391304347831</v>
      </c>
      <c r="T280" s="67">
        <f>IF(Tabell2[[#This Row],[Inntekt]]&lt;=K$427,K$427,IF(Tabell2[[#This Row],[Inntekt]]&gt;=K$428,K$428,Tabell2[[#This Row],[Inntekt]]))</f>
        <v>416200</v>
      </c>
      <c r="U280" s="10">
        <f>IF(Tabell2[[#This Row],[NIBR11-T]]&lt;=L$430,100,IF(Tabell2[[#This Row],[NIBR11-T]]&gt;=L$429,0,100*(L$429-Tabell2[[#This Row],[NIBR11-T]])/L$432))</f>
        <v>70</v>
      </c>
      <c r="V280" s="10">
        <f>(M$429-Tabell2[[#This Row],[ReisetidOslo-T]])*100/M$432</f>
        <v>51.90727669901279</v>
      </c>
      <c r="W280" s="10">
        <f>100-(N$429-Tabell2[[#This Row],[Beftettotal-T]])*100/N$432</f>
        <v>18.707249576814689</v>
      </c>
      <c r="X280" s="10">
        <f>100-(O$429-Tabell2[[#This Row],[Befvekst10-T]])*100/O$432</f>
        <v>52.266750244764332</v>
      </c>
      <c r="Y280" s="10">
        <f>100-(P$429-Tabell2[[#This Row],[Kvinneandel-T]])*100/P$432</f>
        <v>72.973102396354818</v>
      </c>
      <c r="Z280" s="10">
        <f>(Q$429-Tabell2[[#This Row],[Eldreandel-T]])*100/Q$432</f>
        <v>72.035281811406037</v>
      </c>
      <c r="AA280" s="10">
        <f>100-(R$429-Tabell2[[#This Row],[Sysselsettingsvekst10-T]])*100/R$432</f>
        <v>26.22866610089244</v>
      </c>
      <c r="AB280" s="10">
        <f>100-(S$429-Tabell2[[#This Row],[Yrkesaktivandel-T]])*100/S$432</f>
        <v>71.846956782791736</v>
      </c>
      <c r="AC280" s="10">
        <f>100-(T$429-Tabell2[[#This Row],[Inntekt-T]])*100/T$432</f>
        <v>63.389981117405313</v>
      </c>
      <c r="AD28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54.911782287032608</v>
      </c>
    </row>
    <row r="281" spans="1:30" x14ac:dyDescent="0.25">
      <c r="A281" s="2" t="s">
        <v>275</v>
      </c>
      <c r="B281" s="2">
        <v>279</v>
      </c>
      <c r="C281">
        <f>'Rådata-K'!N280</f>
        <v>4</v>
      </c>
      <c r="D281" s="30">
        <f>'Rådata-K'!M280</f>
        <v>172.65625</v>
      </c>
      <c r="E281" s="32">
        <f>'Rådata-K'!O280</f>
        <v>22.710237359458215</v>
      </c>
      <c r="F281" s="32">
        <f>'Rådata-K'!P280</f>
        <v>2.6448736998514022E-2</v>
      </c>
      <c r="G281" s="32">
        <f>'Rådata-K'!Q280</f>
        <v>0.11059640995946729</v>
      </c>
      <c r="H281" s="32">
        <f>'Rådata-K'!R280</f>
        <v>0.15315576143601622</v>
      </c>
      <c r="I281" s="32">
        <f>'Rådata-K'!S280</f>
        <v>-0.11047754811119026</v>
      </c>
      <c r="J281" s="32">
        <f>'Rådata-K'!T280</f>
        <v>0.90057261842790215</v>
      </c>
      <c r="K281" s="67">
        <f>'Rådata-K'!L280</f>
        <v>416000</v>
      </c>
      <c r="L281" s="18">
        <f>Tabell2[[#This Row],[NIBR11]]</f>
        <v>4</v>
      </c>
      <c r="M281" s="32">
        <f>IF(Tabell2[[#This Row],[ReisetidOslo]]&lt;=D$427,D$427,IF(Tabell2[[#This Row],[ReisetidOslo]]&gt;=D$428,D$428,Tabell2[[#This Row],[ReisetidOslo]]))</f>
        <v>172.65625</v>
      </c>
      <c r="N281" s="32">
        <f>IF(Tabell2[[#This Row],[Beftettotal]]&lt;=E$427,E$427,IF(Tabell2[[#This Row],[Beftettotal]]&gt;=E$428,E$428,Tabell2[[#This Row],[Beftettotal]]))</f>
        <v>22.710237359458215</v>
      </c>
      <c r="O281" s="32">
        <f>IF(Tabell2[[#This Row],[Befvekst10]]&lt;=F$427,F$427,IF(Tabell2[[#This Row],[Befvekst10]]&gt;=F$428,F$428,Tabell2[[#This Row],[Befvekst10]]))</f>
        <v>2.6448736998514022E-2</v>
      </c>
      <c r="P281" s="32">
        <f>IF(Tabell2[[#This Row],[Kvinneandel]]&lt;=G$427,G$427,IF(Tabell2[[#This Row],[Kvinneandel]]&gt;=G$428,G$428,Tabell2[[#This Row],[Kvinneandel]]))</f>
        <v>0.11059640995946729</v>
      </c>
      <c r="Q281" s="32">
        <f>IF(Tabell2[[#This Row],[Eldreandel]]&lt;=H$427,H$427,IF(Tabell2[[#This Row],[Eldreandel]]&gt;=H$428,H$428,Tabell2[[#This Row],[Eldreandel]]))</f>
        <v>0.15315576143601622</v>
      </c>
      <c r="R281" s="32">
        <f>IF(Tabell2[[#This Row],[Sysselsettingsvekst10]]&lt;=I$427,I$427,IF(Tabell2[[#This Row],[Sysselsettingsvekst10]]&gt;=I$428,I$428,Tabell2[[#This Row],[Sysselsettingsvekst10]]))</f>
        <v>-0.10679965679965678</v>
      </c>
      <c r="S281" s="32">
        <f>IF(Tabell2[[#This Row],[Yrkesaktivandel]]&lt;=J$427,J$427,IF(Tabell2[[#This Row],[Yrkesaktivandel]]&gt;=J$428,J$428,Tabell2[[#This Row],[Yrkesaktivandel]]))</f>
        <v>0.90057261842790215</v>
      </c>
      <c r="T281" s="67">
        <f>IF(Tabell2[[#This Row],[Inntekt]]&lt;=K$427,K$427,IF(Tabell2[[#This Row],[Inntekt]]&gt;=K$428,K$428,Tabell2[[#This Row],[Inntekt]]))</f>
        <v>416000</v>
      </c>
      <c r="U281" s="10">
        <f>IF(Tabell2[[#This Row],[NIBR11-T]]&lt;=L$430,100,IF(Tabell2[[#This Row],[NIBR11-T]]&gt;=L$429,0,100*(L$429-Tabell2[[#This Row],[NIBR11-T]])/L$432))</f>
        <v>70</v>
      </c>
      <c r="V281" s="10">
        <f>(M$429-Tabell2[[#This Row],[ReisetidOslo-T]])*100/M$432</f>
        <v>49.147253945654484</v>
      </c>
      <c r="W281" s="10">
        <f>100-(N$429-Tabell2[[#This Row],[Beftettotal-T]])*100/N$432</f>
        <v>15.997837129834693</v>
      </c>
      <c r="X281" s="10">
        <f>100-(O$429-Tabell2[[#This Row],[Befvekst10-T]])*100/O$432</f>
        <v>34.882121672152067</v>
      </c>
      <c r="Y281" s="10">
        <f>100-(P$429-Tabell2[[#This Row],[Kvinneandel-T]])*100/P$432</f>
        <v>54.62135422710567</v>
      </c>
      <c r="Z281" s="10">
        <f>(Q$429-Tabell2[[#This Row],[Eldreandel-T]])*100/Q$432</f>
        <v>75.369305207515254</v>
      </c>
      <c r="AA281" s="10">
        <f>100-(R$429-Tabell2[[#This Row],[Sysselsettingsvekst10-T]])*100/R$432</f>
        <v>0</v>
      </c>
      <c r="AB281" s="10">
        <f>100-(S$429-Tabell2[[#This Row],[Yrkesaktivandel-T]])*100/S$432</f>
        <v>80.300470694245533</v>
      </c>
      <c r="AC281" s="10">
        <f>100-(T$429-Tabell2[[#This Row],[Inntekt-T]])*100/T$432</f>
        <v>63.16783294457403</v>
      </c>
      <c r="AD28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48.337296777592336</v>
      </c>
    </row>
    <row r="282" spans="1:30" x14ac:dyDescent="0.25">
      <c r="A282" s="2" t="s">
        <v>276</v>
      </c>
      <c r="B282" s="2">
        <v>280</v>
      </c>
      <c r="C282">
        <f>'Rådata-K'!N281</f>
        <v>5</v>
      </c>
      <c r="D282" s="30">
        <f>'Rådata-K'!M281</f>
        <v>173.84375</v>
      </c>
      <c r="E282" s="32">
        <f>'Rådata-K'!O281</f>
        <v>33.333333333333329</v>
      </c>
      <c r="F282" s="32">
        <f>'Rådata-K'!P281</f>
        <v>9.1112353269983126E-2</v>
      </c>
      <c r="G282" s="32">
        <f>'Rådata-K'!Q281</f>
        <v>0.10946038251366121</v>
      </c>
      <c r="H282" s="32">
        <f>'Rådata-K'!R281</f>
        <v>0.16786202185792351</v>
      </c>
      <c r="I282" s="32">
        <f>'Rådata-K'!S281</f>
        <v>6.2920268972142201E-2</v>
      </c>
      <c r="J282" s="32">
        <f>'Rådata-K'!T281</f>
        <v>0.85199757869249393</v>
      </c>
      <c r="K282" s="67">
        <f>'Rådata-K'!L281</f>
        <v>431500</v>
      </c>
      <c r="L282" s="18">
        <f>Tabell2[[#This Row],[NIBR11]]</f>
        <v>5</v>
      </c>
      <c r="M282" s="32">
        <f>IF(Tabell2[[#This Row],[ReisetidOslo]]&lt;=D$427,D$427,IF(Tabell2[[#This Row],[ReisetidOslo]]&gt;=D$428,D$428,Tabell2[[#This Row],[ReisetidOslo]]))</f>
        <v>173.84375</v>
      </c>
      <c r="N282" s="32">
        <f>IF(Tabell2[[#This Row],[Beftettotal]]&lt;=E$427,E$427,IF(Tabell2[[#This Row],[Beftettotal]]&gt;=E$428,E$428,Tabell2[[#This Row],[Beftettotal]]))</f>
        <v>33.333333333333329</v>
      </c>
      <c r="O282" s="32">
        <f>IF(Tabell2[[#This Row],[Befvekst10]]&lt;=F$427,F$427,IF(Tabell2[[#This Row],[Befvekst10]]&gt;=F$428,F$428,Tabell2[[#This Row],[Befvekst10]]))</f>
        <v>9.1112353269983126E-2</v>
      </c>
      <c r="P282" s="32">
        <f>IF(Tabell2[[#This Row],[Kvinneandel]]&lt;=G$427,G$427,IF(Tabell2[[#This Row],[Kvinneandel]]&gt;=G$428,G$428,Tabell2[[#This Row],[Kvinneandel]]))</f>
        <v>0.10946038251366121</v>
      </c>
      <c r="Q282" s="32">
        <f>IF(Tabell2[[#This Row],[Eldreandel]]&lt;=H$427,H$427,IF(Tabell2[[#This Row],[Eldreandel]]&gt;=H$428,H$428,Tabell2[[#This Row],[Eldreandel]]))</f>
        <v>0.16786202185792351</v>
      </c>
      <c r="R282" s="32">
        <f>IF(Tabell2[[#This Row],[Sysselsettingsvekst10]]&lt;=I$427,I$427,IF(Tabell2[[#This Row],[Sysselsettingsvekst10]]&gt;=I$428,I$428,Tabell2[[#This Row],[Sysselsettingsvekst10]]))</f>
        <v>6.2920268972142201E-2</v>
      </c>
      <c r="S282" s="32">
        <f>IF(Tabell2[[#This Row],[Yrkesaktivandel]]&lt;=J$427,J$427,IF(Tabell2[[#This Row],[Yrkesaktivandel]]&gt;=J$428,J$428,Tabell2[[#This Row],[Yrkesaktivandel]]))</f>
        <v>0.85199757869249393</v>
      </c>
      <c r="T282" s="67">
        <f>IF(Tabell2[[#This Row],[Inntekt]]&lt;=K$427,K$427,IF(Tabell2[[#This Row],[Inntekt]]&gt;=K$428,K$428,Tabell2[[#This Row],[Inntekt]]))</f>
        <v>431500</v>
      </c>
      <c r="U282" s="10">
        <f>IF(Tabell2[[#This Row],[NIBR11-T]]&lt;=L$430,100,IF(Tabell2[[#This Row],[NIBR11-T]]&gt;=L$429,0,100*(L$429-Tabell2[[#This Row],[NIBR11-T]])/L$432))</f>
        <v>60</v>
      </c>
      <c r="V282" s="10">
        <f>(M$429-Tabell2[[#This Row],[ReisetidOslo-T]])*100/M$432</f>
        <v>48.635639971861238</v>
      </c>
      <c r="W282" s="10">
        <f>100-(N$429-Tabell2[[#This Row],[Beftettotal-T]])*100/N$432</f>
        <v>23.915292824165078</v>
      </c>
      <c r="X282" s="10">
        <f>100-(O$429-Tabell2[[#This Row],[Befvekst10-T]])*100/O$432</f>
        <v>62.737578369339857</v>
      </c>
      <c r="Y282" s="10">
        <f>100-(P$429-Tabell2[[#This Row],[Kvinneandel-T]])*100/P$432</f>
        <v>51.620761307371851</v>
      </c>
      <c r="Z282" s="10">
        <f>(Q$429-Tabell2[[#This Row],[Eldreandel-T]])*100/Q$432</f>
        <v>59.50695227345161</v>
      </c>
      <c r="AA282" s="10">
        <f>100-(R$429-Tabell2[[#This Row],[Sysselsettingsvekst10-T]])*100/R$432</f>
        <v>59.375520792288562</v>
      </c>
      <c r="AB282" s="10">
        <f>100-(S$429-Tabell2[[#This Row],[Yrkesaktivandel-T]])*100/S$432</f>
        <v>42.62353938279302</v>
      </c>
      <c r="AC282" s="10">
        <f>100-(T$429-Tabell2[[#This Row],[Inntekt-T]])*100/T$432</f>
        <v>80.384316338998104</v>
      </c>
      <c r="AD28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55.597332283919755</v>
      </c>
    </row>
    <row r="283" spans="1:30" x14ac:dyDescent="0.25">
      <c r="A283" s="2" t="s">
        <v>277</v>
      </c>
      <c r="B283" s="2">
        <v>281</v>
      </c>
      <c r="C283">
        <f>'Rådata-K'!N282</f>
        <v>4</v>
      </c>
      <c r="D283" s="30">
        <f>'Rådata-K'!M282</f>
        <v>176.375</v>
      </c>
      <c r="E283" s="32">
        <f>'Rådata-K'!O282</f>
        <v>6.8417053166679773</v>
      </c>
      <c r="F283" s="32">
        <f>'Rådata-K'!P282</f>
        <v>-1.3600302228938377E-2</v>
      </c>
      <c r="G283" s="32">
        <f>'Rådata-K'!Q282</f>
        <v>0.10532363079279969</v>
      </c>
      <c r="H283" s="32">
        <f>'Rådata-K'!R282</f>
        <v>0.18843355036384526</v>
      </c>
      <c r="I283" s="32">
        <f>'Rådata-K'!S282</f>
        <v>6.1349693251533388E-3</v>
      </c>
      <c r="J283" s="32">
        <f>'Rådata-K'!T282</f>
        <v>0.91201716738197425</v>
      </c>
      <c r="K283" s="67">
        <f>'Rådata-K'!L282</f>
        <v>401800</v>
      </c>
      <c r="L283" s="18">
        <f>Tabell2[[#This Row],[NIBR11]]</f>
        <v>4</v>
      </c>
      <c r="M283" s="32">
        <f>IF(Tabell2[[#This Row],[ReisetidOslo]]&lt;=D$427,D$427,IF(Tabell2[[#This Row],[ReisetidOslo]]&gt;=D$428,D$428,Tabell2[[#This Row],[ReisetidOslo]]))</f>
        <v>176.375</v>
      </c>
      <c r="N283" s="32">
        <f>IF(Tabell2[[#This Row],[Beftettotal]]&lt;=E$427,E$427,IF(Tabell2[[#This Row],[Beftettotal]]&gt;=E$428,E$428,Tabell2[[#This Row],[Beftettotal]]))</f>
        <v>6.8417053166679773</v>
      </c>
      <c r="O283" s="32">
        <f>IF(Tabell2[[#This Row],[Befvekst10]]&lt;=F$427,F$427,IF(Tabell2[[#This Row],[Befvekst10]]&gt;=F$428,F$428,Tabell2[[#This Row],[Befvekst10]]))</f>
        <v>-1.3600302228938377E-2</v>
      </c>
      <c r="P283" s="32">
        <f>IF(Tabell2[[#This Row],[Kvinneandel]]&lt;=G$427,G$427,IF(Tabell2[[#This Row],[Kvinneandel]]&gt;=G$428,G$428,Tabell2[[#This Row],[Kvinneandel]]))</f>
        <v>0.10532363079279969</v>
      </c>
      <c r="Q283" s="32">
        <f>IF(Tabell2[[#This Row],[Eldreandel]]&lt;=H$427,H$427,IF(Tabell2[[#This Row],[Eldreandel]]&gt;=H$428,H$428,Tabell2[[#This Row],[Eldreandel]]))</f>
        <v>0.18843355036384526</v>
      </c>
      <c r="R283" s="32">
        <f>IF(Tabell2[[#This Row],[Sysselsettingsvekst10]]&lt;=I$427,I$427,IF(Tabell2[[#This Row],[Sysselsettingsvekst10]]&gt;=I$428,I$428,Tabell2[[#This Row],[Sysselsettingsvekst10]]))</f>
        <v>6.1349693251533388E-3</v>
      </c>
      <c r="S283" s="32">
        <f>IF(Tabell2[[#This Row],[Yrkesaktivandel]]&lt;=J$427,J$427,IF(Tabell2[[#This Row],[Yrkesaktivandel]]&gt;=J$428,J$428,Tabell2[[#This Row],[Yrkesaktivandel]]))</f>
        <v>0.91201716738197425</v>
      </c>
      <c r="T283" s="67">
        <f>IF(Tabell2[[#This Row],[Inntekt]]&lt;=K$427,K$427,IF(Tabell2[[#This Row],[Inntekt]]&gt;=K$428,K$428,Tabell2[[#This Row],[Inntekt]]))</f>
        <v>401800</v>
      </c>
      <c r="U283" s="10">
        <f>IF(Tabell2[[#This Row],[NIBR11-T]]&lt;=L$430,100,IF(Tabell2[[#This Row],[NIBR11-T]]&gt;=L$429,0,100*(L$429-Tabell2[[#This Row],[NIBR11-T]])/L$432))</f>
        <v>70</v>
      </c>
      <c r="V283" s="10">
        <f>(M$429-Tabell2[[#This Row],[ReisetidOslo-T]])*100/M$432</f>
        <v>47.545094396144052</v>
      </c>
      <c r="W283" s="10">
        <f>100-(N$429-Tabell2[[#This Row],[Beftettotal-T]])*100/N$432</f>
        <v>4.1709271883420342</v>
      </c>
      <c r="X283" s="10">
        <f>100-(O$429-Tabell2[[#This Row],[Befvekst10-T]])*100/O$432</f>
        <v>17.63000460401814</v>
      </c>
      <c r="Y283" s="10">
        <f>100-(P$429-Tabell2[[#This Row],[Kvinneandel-T]])*100/P$432</f>
        <v>40.694345779174675</v>
      </c>
      <c r="Z283" s="10">
        <f>(Q$429-Tabell2[[#This Row],[Eldreandel-T]])*100/Q$432</f>
        <v>37.318249218255644</v>
      </c>
      <c r="AA283" s="10">
        <f>100-(R$429-Tabell2[[#This Row],[Sysselsettingsvekst10-T]])*100/R$432</f>
        <v>39.509516700231835</v>
      </c>
      <c r="AB283" s="10">
        <f>100-(S$429-Tabell2[[#This Row],[Yrkesaktivandel-T]])*100/S$432</f>
        <v>89.177364818921163</v>
      </c>
      <c r="AC283" s="10">
        <f>100-(T$429-Tabell2[[#This Row],[Inntekt-T]])*100/T$432</f>
        <v>47.395312673553263</v>
      </c>
      <c r="AD28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44.206452248394378</v>
      </c>
    </row>
    <row r="284" spans="1:30" x14ac:dyDescent="0.25">
      <c r="A284" s="2" t="s">
        <v>278</v>
      </c>
      <c r="B284" s="2">
        <v>282</v>
      </c>
      <c r="C284">
        <f>'Rådata-K'!N283</f>
        <v>5</v>
      </c>
      <c r="D284" s="30">
        <f>'Rådata-K'!M283</f>
        <v>195.3125</v>
      </c>
      <c r="E284" s="32">
        <f>'Rådata-K'!O283</f>
        <v>9.232094072930277</v>
      </c>
      <c r="F284" s="32">
        <f>'Rådata-K'!P283</f>
        <v>8.1063553826199453E-3</v>
      </c>
      <c r="G284" s="32">
        <f>'Rådata-K'!Q283</f>
        <v>9.3920874879382443E-2</v>
      </c>
      <c r="H284" s="32">
        <f>'Rådata-K'!R283</f>
        <v>0.21293020263750401</v>
      </c>
      <c r="I284" s="32">
        <f>'Rådata-K'!S283</f>
        <v>-6.7592592592592537E-2</v>
      </c>
      <c r="J284" s="32">
        <f>'Rådata-K'!T283</f>
        <v>0.85202863961813846</v>
      </c>
      <c r="K284" s="67">
        <f>'Rådata-K'!L283</f>
        <v>370500</v>
      </c>
      <c r="L284" s="18">
        <f>Tabell2[[#This Row],[NIBR11]]</f>
        <v>5</v>
      </c>
      <c r="M284" s="32">
        <f>IF(Tabell2[[#This Row],[ReisetidOslo]]&lt;=D$427,D$427,IF(Tabell2[[#This Row],[ReisetidOslo]]&gt;=D$428,D$428,Tabell2[[#This Row],[ReisetidOslo]]))</f>
        <v>195.3125</v>
      </c>
      <c r="N284" s="32">
        <f>IF(Tabell2[[#This Row],[Beftettotal]]&lt;=E$427,E$427,IF(Tabell2[[#This Row],[Beftettotal]]&gt;=E$428,E$428,Tabell2[[#This Row],[Beftettotal]]))</f>
        <v>9.232094072930277</v>
      </c>
      <c r="O284" s="32">
        <f>IF(Tabell2[[#This Row],[Befvekst10]]&lt;=F$427,F$427,IF(Tabell2[[#This Row],[Befvekst10]]&gt;=F$428,F$428,Tabell2[[#This Row],[Befvekst10]]))</f>
        <v>8.1063553826199453E-3</v>
      </c>
      <c r="P284" s="32">
        <f>IF(Tabell2[[#This Row],[Kvinneandel]]&lt;=G$427,G$427,IF(Tabell2[[#This Row],[Kvinneandel]]&gt;=G$428,G$428,Tabell2[[#This Row],[Kvinneandel]]))</f>
        <v>9.3920874879382443E-2</v>
      </c>
      <c r="Q284" s="32">
        <f>IF(Tabell2[[#This Row],[Eldreandel]]&lt;=H$427,H$427,IF(Tabell2[[#This Row],[Eldreandel]]&gt;=H$428,H$428,Tabell2[[#This Row],[Eldreandel]]))</f>
        <v>0.21293020263750401</v>
      </c>
      <c r="R284" s="32">
        <f>IF(Tabell2[[#This Row],[Sysselsettingsvekst10]]&lt;=I$427,I$427,IF(Tabell2[[#This Row],[Sysselsettingsvekst10]]&gt;=I$428,I$428,Tabell2[[#This Row],[Sysselsettingsvekst10]]))</f>
        <v>-6.7592592592592537E-2</v>
      </c>
      <c r="S284" s="32">
        <f>IF(Tabell2[[#This Row],[Yrkesaktivandel]]&lt;=J$427,J$427,IF(Tabell2[[#This Row],[Yrkesaktivandel]]&gt;=J$428,J$428,Tabell2[[#This Row],[Yrkesaktivandel]]))</f>
        <v>0.85202863961813846</v>
      </c>
      <c r="T284" s="67">
        <f>IF(Tabell2[[#This Row],[Inntekt]]&lt;=K$427,K$427,IF(Tabell2[[#This Row],[Inntekt]]&gt;=K$428,K$428,Tabell2[[#This Row],[Inntekt]]))</f>
        <v>370500</v>
      </c>
      <c r="U284" s="10">
        <f>IF(Tabell2[[#This Row],[NIBR11-T]]&lt;=L$430,100,IF(Tabell2[[#This Row],[NIBR11-T]]&gt;=L$429,0,100*(L$429-Tabell2[[#This Row],[NIBR11-T]])/L$432))</f>
        <v>60</v>
      </c>
      <c r="V284" s="10">
        <f>(M$429-Tabell2[[#This Row],[ReisetidOslo-T]])*100/M$432</f>
        <v>39.386197866704372</v>
      </c>
      <c r="W284" s="10">
        <f>100-(N$429-Tabell2[[#This Row],[Beftettotal-T]])*100/N$432</f>
        <v>5.9524979391359523</v>
      </c>
      <c r="X284" s="10">
        <f>100-(O$429-Tabell2[[#This Row],[Befvekst10-T]])*100/O$432</f>
        <v>26.980685806272945</v>
      </c>
      <c r="Y284" s="10">
        <f>100-(P$429-Tabell2[[#This Row],[Kvinneandel-T]])*100/P$432</f>
        <v>10.576210178168125</v>
      </c>
      <c r="Z284" s="10">
        <f>(Q$429-Tabell2[[#This Row],[Eldreandel-T]])*100/Q$432</f>
        <v>10.895859506662852</v>
      </c>
      <c r="AA284" s="10">
        <f>100-(R$429-Tabell2[[#This Row],[Sysselsettingsvekst10-T]])*100/R$432</f>
        <v>13.716361502309539</v>
      </c>
      <c r="AB284" s="10">
        <f>100-(S$429-Tabell2[[#This Row],[Yrkesaktivandel-T]])*100/S$432</f>
        <v>42.647631599049632</v>
      </c>
      <c r="AC284" s="10">
        <f>100-(T$429-Tabell2[[#This Row],[Inntekt-T]])*100/T$432</f>
        <v>12.629123625458178</v>
      </c>
      <c r="AD28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29.902921898761907</v>
      </c>
    </row>
    <row r="285" spans="1:30" x14ac:dyDescent="0.25">
      <c r="A285" s="2" t="s">
        <v>279</v>
      </c>
      <c r="B285" s="2">
        <v>283</v>
      </c>
      <c r="C285">
        <f>'Rådata-K'!N284</f>
        <v>9</v>
      </c>
      <c r="D285" s="30">
        <f>'Rådata-K'!M284</f>
        <v>220.46875</v>
      </c>
      <c r="E285" s="32">
        <f>'Rådata-K'!O284</f>
        <v>4.1588850499579788</v>
      </c>
      <c r="F285" s="32">
        <f>'Rådata-K'!P284</f>
        <v>-2.8228555843447412E-2</v>
      </c>
      <c r="G285" s="32">
        <f>'Rådata-K'!Q284</f>
        <v>9.7530171204041533E-2</v>
      </c>
      <c r="H285" s="32">
        <f>'Rådata-K'!R284</f>
        <v>0.17611563289362897</v>
      </c>
      <c r="I285" s="32">
        <f>'Rådata-K'!S284</f>
        <v>-4.4243338360985374E-2</v>
      </c>
      <c r="J285" s="32">
        <f>'Rådata-K'!T284</f>
        <v>0.84258349705304514</v>
      </c>
      <c r="K285" s="67">
        <f>'Rådata-K'!L284</f>
        <v>398900</v>
      </c>
      <c r="L285" s="18">
        <f>Tabell2[[#This Row],[NIBR11]]</f>
        <v>9</v>
      </c>
      <c r="M285" s="32">
        <f>IF(Tabell2[[#This Row],[ReisetidOslo]]&lt;=D$427,D$427,IF(Tabell2[[#This Row],[ReisetidOslo]]&gt;=D$428,D$428,Tabell2[[#This Row],[ReisetidOslo]]))</f>
        <v>220.46875</v>
      </c>
      <c r="N285" s="32">
        <f>IF(Tabell2[[#This Row],[Beftettotal]]&lt;=E$427,E$427,IF(Tabell2[[#This Row],[Beftettotal]]&gt;=E$428,E$428,Tabell2[[#This Row],[Beftettotal]]))</f>
        <v>4.1588850499579788</v>
      </c>
      <c r="O285" s="32">
        <f>IF(Tabell2[[#This Row],[Befvekst10]]&lt;=F$427,F$427,IF(Tabell2[[#This Row],[Befvekst10]]&gt;=F$428,F$428,Tabell2[[#This Row],[Befvekst10]]))</f>
        <v>-2.8228555843447412E-2</v>
      </c>
      <c r="P285" s="32">
        <f>IF(Tabell2[[#This Row],[Kvinneandel]]&lt;=G$427,G$427,IF(Tabell2[[#This Row],[Kvinneandel]]&gt;=G$428,G$428,Tabell2[[#This Row],[Kvinneandel]]))</f>
        <v>9.7530171204041533E-2</v>
      </c>
      <c r="Q285" s="32">
        <f>IF(Tabell2[[#This Row],[Eldreandel]]&lt;=H$427,H$427,IF(Tabell2[[#This Row],[Eldreandel]]&gt;=H$428,H$428,Tabell2[[#This Row],[Eldreandel]]))</f>
        <v>0.17611563289362897</v>
      </c>
      <c r="R285" s="32">
        <f>IF(Tabell2[[#This Row],[Sysselsettingsvekst10]]&lt;=I$427,I$427,IF(Tabell2[[#This Row],[Sysselsettingsvekst10]]&gt;=I$428,I$428,Tabell2[[#This Row],[Sysselsettingsvekst10]]))</f>
        <v>-4.4243338360985374E-2</v>
      </c>
      <c r="S285" s="32">
        <f>IF(Tabell2[[#This Row],[Yrkesaktivandel]]&lt;=J$427,J$427,IF(Tabell2[[#This Row],[Yrkesaktivandel]]&gt;=J$428,J$428,Tabell2[[#This Row],[Yrkesaktivandel]]))</f>
        <v>0.84258349705304514</v>
      </c>
      <c r="T285" s="67">
        <f>IF(Tabell2[[#This Row],[Inntekt]]&lt;=K$427,K$427,IF(Tabell2[[#This Row],[Inntekt]]&gt;=K$428,K$428,Tabell2[[#This Row],[Inntekt]]))</f>
        <v>398900</v>
      </c>
      <c r="U285" s="10">
        <f>IF(Tabell2[[#This Row],[NIBR11-T]]&lt;=L$430,100,IF(Tabell2[[#This Row],[NIBR11-T]]&gt;=L$429,0,100*(L$429-Tabell2[[#This Row],[NIBR11-T]])/L$432))</f>
        <v>20</v>
      </c>
      <c r="V285" s="10">
        <f>(M$429-Tabell2[[#This Row],[ReisetidOslo-T]])*100/M$432</f>
        <v>28.548059737663216</v>
      </c>
      <c r="W285" s="10">
        <f>100-(N$429-Tabell2[[#This Row],[Beftettotal-T]])*100/N$432</f>
        <v>2.1714055187868269</v>
      </c>
      <c r="X285" s="10">
        <f>100-(O$429-Tabell2[[#This Row],[Befvekst10-T]])*100/O$432</f>
        <v>11.328521504097168</v>
      </c>
      <c r="Y285" s="10">
        <f>100-(P$429-Tabell2[[#This Row],[Kvinneandel-T]])*100/P$432</f>
        <v>20.109456084307979</v>
      </c>
      <c r="Z285" s="10">
        <f>(Q$429-Tabell2[[#This Row],[Eldreandel-T]])*100/Q$432</f>
        <v>50.60450614011549</v>
      </c>
      <c r="AA285" s="10">
        <f>100-(R$429-Tabell2[[#This Row],[Sysselsettingsvekst10-T]])*100/R$432</f>
        <v>21.884961175027428</v>
      </c>
      <c r="AB285" s="10">
        <f>100-(S$429-Tabell2[[#This Row],[Yrkesaktivandel-T]])*100/S$432</f>
        <v>35.321564763277294</v>
      </c>
      <c r="AC285" s="10">
        <f>100-(T$429-Tabell2[[#This Row],[Inntekt-T]])*100/T$432</f>
        <v>44.174164167499725</v>
      </c>
      <c r="AD28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23.011417948266057</v>
      </c>
    </row>
    <row r="286" spans="1:30" x14ac:dyDescent="0.25">
      <c r="A286" s="2" t="s">
        <v>280</v>
      </c>
      <c r="B286" s="2">
        <v>284</v>
      </c>
      <c r="C286">
        <f>'Rådata-K'!N285</f>
        <v>9</v>
      </c>
      <c r="D286" s="30">
        <f>'Rådata-K'!M285</f>
        <v>248.21875</v>
      </c>
      <c r="E286" s="32">
        <f>'Rådata-K'!O285</f>
        <v>4.3819772336298088</v>
      </c>
      <c r="F286" s="32">
        <f>'Rådata-K'!P285</f>
        <v>-1.0414944618945321E-2</v>
      </c>
      <c r="G286" s="32">
        <f>'Rådata-K'!Q285</f>
        <v>0.10257266956231206</v>
      </c>
      <c r="H286" s="32">
        <f>'Rådata-K'!R285</f>
        <v>0.19127965252255263</v>
      </c>
      <c r="I286" s="32">
        <f>'Rådata-K'!S285</f>
        <v>5.0614605929139467E-2</v>
      </c>
      <c r="J286" s="32">
        <f>'Rådata-K'!T285</f>
        <v>0.89912939057340135</v>
      </c>
      <c r="K286" s="67">
        <f>'Rådata-K'!L285</f>
        <v>373100</v>
      </c>
      <c r="L286" s="18">
        <f>Tabell2[[#This Row],[NIBR11]]</f>
        <v>9</v>
      </c>
      <c r="M286" s="32">
        <f>IF(Tabell2[[#This Row],[ReisetidOslo]]&lt;=D$427,D$427,IF(Tabell2[[#This Row],[ReisetidOslo]]&gt;=D$428,D$428,Tabell2[[#This Row],[ReisetidOslo]]))</f>
        <v>248.21875</v>
      </c>
      <c r="N286" s="32">
        <f>IF(Tabell2[[#This Row],[Beftettotal]]&lt;=E$427,E$427,IF(Tabell2[[#This Row],[Beftettotal]]&gt;=E$428,E$428,Tabell2[[#This Row],[Beftettotal]]))</f>
        <v>4.3819772336298088</v>
      </c>
      <c r="O286" s="32">
        <f>IF(Tabell2[[#This Row],[Befvekst10]]&lt;=F$427,F$427,IF(Tabell2[[#This Row],[Befvekst10]]&gt;=F$428,F$428,Tabell2[[#This Row],[Befvekst10]]))</f>
        <v>-1.0414944618945321E-2</v>
      </c>
      <c r="P286" s="32">
        <f>IF(Tabell2[[#This Row],[Kvinneandel]]&lt;=G$427,G$427,IF(Tabell2[[#This Row],[Kvinneandel]]&gt;=G$428,G$428,Tabell2[[#This Row],[Kvinneandel]]))</f>
        <v>0.10257266956231206</v>
      </c>
      <c r="Q286" s="32">
        <f>IF(Tabell2[[#This Row],[Eldreandel]]&lt;=H$427,H$427,IF(Tabell2[[#This Row],[Eldreandel]]&gt;=H$428,H$428,Tabell2[[#This Row],[Eldreandel]]))</f>
        <v>0.19127965252255263</v>
      </c>
      <c r="R286" s="32">
        <f>IF(Tabell2[[#This Row],[Sysselsettingsvekst10]]&lt;=I$427,I$427,IF(Tabell2[[#This Row],[Sysselsettingsvekst10]]&gt;=I$428,I$428,Tabell2[[#This Row],[Sysselsettingsvekst10]]))</f>
        <v>5.0614605929139467E-2</v>
      </c>
      <c r="S286" s="32">
        <f>IF(Tabell2[[#This Row],[Yrkesaktivandel]]&lt;=J$427,J$427,IF(Tabell2[[#This Row],[Yrkesaktivandel]]&gt;=J$428,J$428,Tabell2[[#This Row],[Yrkesaktivandel]]))</f>
        <v>0.89912939057340135</v>
      </c>
      <c r="T286" s="67">
        <f>IF(Tabell2[[#This Row],[Inntekt]]&lt;=K$427,K$427,IF(Tabell2[[#This Row],[Inntekt]]&gt;=K$428,K$428,Tabell2[[#This Row],[Inntekt]]))</f>
        <v>373100</v>
      </c>
      <c r="U286" s="10">
        <f>IF(Tabell2[[#This Row],[NIBR11-T]]&lt;=L$430,100,IF(Tabell2[[#This Row],[NIBR11-T]]&gt;=L$429,0,100*(L$429-Tabell2[[#This Row],[NIBR11-T]])/L$432))</f>
        <v>20</v>
      </c>
      <c r="V286" s="10">
        <f>(M$429-Tabell2[[#This Row],[ReisetidOslo-T]])*100/M$432</f>
        <v>16.592448981652598</v>
      </c>
      <c r="W286" s="10">
        <f>100-(N$429-Tabell2[[#This Row],[Beftettotal-T]])*100/N$432</f>
        <v>2.337677430884483</v>
      </c>
      <c r="X286" s="10">
        <f>100-(O$429-Tabell2[[#This Row],[Befvekst10-T]])*100/O$432</f>
        <v>19.00217640767535</v>
      </c>
      <c r="Y286" s="10">
        <f>100-(P$429-Tabell2[[#This Row],[Kvinneandel-T]])*100/P$432</f>
        <v>33.428223097775629</v>
      </c>
      <c r="Z286" s="10">
        <f>(Q$429-Tabell2[[#This Row],[Eldreandel-T]])*100/Q$432</f>
        <v>34.24840850874633</v>
      </c>
      <c r="AA286" s="10">
        <f>100-(R$429-Tabell2[[#This Row],[Sysselsettingsvekst10-T]])*100/R$432</f>
        <v>55.070456737198612</v>
      </c>
      <c r="AB286" s="10">
        <f>100-(S$429-Tabell2[[#This Row],[Yrkesaktivandel-T]])*100/S$432</f>
        <v>79.181039870575731</v>
      </c>
      <c r="AC286" s="10">
        <f>100-(T$429-Tabell2[[#This Row],[Inntekt-T]])*100/T$432</f>
        <v>15.517049872264806</v>
      </c>
      <c r="AD28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28.054134151118792</v>
      </c>
    </row>
    <row r="287" spans="1:30" x14ac:dyDescent="0.25">
      <c r="A287" s="2" t="s">
        <v>281</v>
      </c>
      <c r="B287" s="2">
        <v>285</v>
      </c>
      <c r="C287">
        <f>'Rådata-K'!N286</f>
        <v>9</v>
      </c>
      <c r="D287" s="30">
        <f>'Rådata-K'!M286</f>
        <v>253.53125</v>
      </c>
      <c r="E287" s="32">
        <f>'Rådata-K'!O286</f>
        <v>3.2065079767029627</v>
      </c>
      <c r="F287" s="32">
        <f>'Rådata-K'!P286</f>
        <v>-1.6982047549733092E-2</v>
      </c>
      <c r="G287" s="32">
        <f>'Rådata-K'!Q286</f>
        <v>0.10266535044422508</v>
      </c>
      <c r="H287" s="32">
        <f>'Rådata-K'!R286</f>
        <v>0.21125370187561698</v>
      </c>
      <c r="I287" s="32">
        <f>'Rådata-K'!S286</f>
        <v>-4.8034934497816595E-2</v>
      </c>
      <c r="J287" s="32">
        <f>'Rådata-K'!T286</f>
        <v>0.94029850746268662</v>
      </c>
      <c r="K287" s="67">
        <f>'Rådata-K'!L286</f>
        <v>373700</v>
      </c>
      <c r="L287" s="18">
        <f>Tabell2[[#This Row],[NIBR11]]</f>
        <v>9</v>
      </c>
      <c r="M287" s="32">
        <f>IF(Tabell2[[#This Row],[ReisetidOslo]]&lt;=D$427,D$427,IF(Tabell2[[#This Row],[ReisetidOslo]]&gt;=D$428,D$428,Tabell2[[#This Row],[ReisetidOslo]]))</f>
        <v>253.53125</v>
      </c>
      <c r="N287" s="32">
        <f>IF(Tabell2[[#This Row],[Beftettotal]]&lt;=E$427,E$427,IF(Tabell2[[#This Row],[Beftettotal]]&gt;=E$428,E$428,Tabell2[[#This Row],[Beftettotal]]))</f>
        <v>3.2065079767029627</v>
      </c>
      <c r="O287" s="32">
        <f>IF(Tabell2[[#This Row],[Befvekst10]]&lt;=F$427,F$427,IF(Tabell2[[#This Row],[Befvekst10]]&gt;=F$428,F$428,Tabell2[[#This Row],[Befvekst10]]))</f>
        <v>-1.6982047549733092E-2</v>
      </c>
      <c r="P287" s="32">
        <f>IF(Tabell2[[#This Row],[Kvinneandel]]&lt;=G$427,G$427,IF(Tabell2[[#This Row],[Kvinneandel]]&gt;=G$428,G$428,Tabell2[[#This Row],[Kvinneandel]]))</f>
        <v>0.10266535044422508</v>
      </c>
      <c r="Q287" s="32">
        <f>IF(Tabell2[[#This Row],[Eldreandel]]&lt;=H$427,H$427,IF(Tabell2[[#This Row],[Eldreandel]]&gt;=H$428,H$428,Tabell2[[#This Row],[Eldreandel]]))</f>
        <v>0.21125370187561698</v>
      </c>
      <c r="R287" s="32">
        <f>IF(Tabell2[[#This Row],[Sysselsettingsvekst10]]&lt;=I$427,I$427,IF(Tabell2[[#This Row],[Sysselsettingsvekst10]]&gt;=I$428,I$428,Tabell2[[#This Row],[Sysselsettingsvekst10]]))</f>
        <v>-4.8034934497816595E-2</v>
      </c>
      <c r="S287" s="32">
        <f>IF(Tabell2[[#This Row],[Yrkesaktivandel]]&lt;=J$427,J$427,IF(Tabell2[[#This Row],[Yrkesaktivandel]]&gt;=J$428,J$428,Tabell2[[#This Row],[Yrkesaktivandel]]))</f>
        <v>0.92597026588718434</v>
      </c>
      <c r="T287" s="67">
        <f>IF(Tabell2[[#This Row],[Inntekt]]&lt;=K$427,K$427,IF(Tabell2[[#This Row],[Inntekt]]&gt;=K$428,K$428,Tabell2[[#This Row],[Inntekt]]))</f>
        <v>373700</v>
      </c>
      <c r="U287" s="10">
        <f>IF(Tabell2[[#This Row],[NIBR11-T]]&lt;=L$430,100,IF(Tabell2[[#This Row],[NIBR11-T]]&gt;=L$429,0,100*(L$429-Tabell2[[#This Row],[NIBR11-T]])/L$432))</f>
        <v>20</v>
      </c>
      <c r="V287" s="10">
        <f>(M$429-Tabell2[[#This Row],[ReisetidOslo-T]])*100/M$432</f>
        <v>14.303649625209122</v>
      </c>
      <c r="W287" s="10">
        <f>100-(N$429-Tabell2[[#This Row],[Beftettotal-T]])*100/N$432</f>
        <v>1.4615933039356719</v>
      </c>
      <c r="X287" s="10">
        <f>100-(O$429-Tabell2[[#This Row],[Befvekst10-T]])*100/O$432</f>
        <v>16.17323392251393</v>
      </c>
      <c r="Y287" s="10">
        <f>100-(P$429-Tabell2[[#This Row],[Kvinneandel-T]])*100/P$432</f>
        <v>33.673021407085443</v>
      </c>
      <c r="Z287" s="10">
        <f>(Q$429-Tabell2[[#This Row],[Eldreandel-T]])*100/Q$432</f>
        <v>12.704153798776959</v>
      </c>
      <c r="AA287" s="10">
        <f>100-(R$429-Tabell2[[#This Row],[Sysselsettingsvekst10-T]])*100/R$432</f>
        <v>20.558493500506501</v>
      </c>
      <c r="AB287" s="10">
        <f>100-(S$429-Tabell2[[#This Row],[Yrkesaktivandel-T]])*100/S$432</f>
        <v>100</v>
      </c>
      <c r="AC287" s="10">
        <f>100-(T$429-Tabell2[[#This Row],[Inntekt-T]])*100/T$432</f>
        <v>16.183494390758639</v>
      </c>
      <c r="AD28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24.804228626836903</v>
      </c>
    </row>
    <row r="288" spans="1:30" x14ac:dyDescent="0.25">
      <c r="A288" s="2" t="s">
        <v>282</v>
      </c>
      <c r="B288" s="2">
        <v>286</v>
      </c>
      <c r="C288">
        <f>'Rådata-K'!N287</f>
        <v>9</v>
      </c>
      <c r="D288" s="30">
        <f>'Rådata-K'!M287</f>
        <v>226.59375</v>
      </c>
      <c r="E288" s="32">
        <f>'Rådata-K'!O287</f>
        <v>5.3206002728512951</v>
      </c>
      <c r="F288" s="32">
        <f>'Rådata-K'!P287</f>
        <v>-4.3087971274685777E-2</v>
      </c>
      <c r="G288" s="32">
        <f>'Rådata-K'!Q287</f>
        <v>9.0681676047529705E-2</v>
      </c>
      <c r="H288" s="32">
        <f>'Rådata-K'!R287</f>
        <v>0.23389618511569732</v>
      </c>
      <c r="I288" s="32">
        <f>'Rådata-K'!S287</f>
        <v>-6.6666666666666652E-2</v>
      </c>
      <c r="J288" s="32">
        <f>'Rådata-K'!T287</f>
        <v>0.84687868080094231</v>
      </c>
      <c r="K288" s="67">
        <f>'Rådata-K'!L287</f>
        <v>366800</v>
      </c>
      <c r="L288" s="18">
        <f>Tabell2[[#This Row],[NIBR11]]</f>
        <v>9</v>
      </c>
      <c r="M288" s="32">
        <f>IF(Tabell2[[#This Row],[ReisetidOslo]]&lt;=D$427,D$427,IF(Tabell2[[#This Row],[ReisetidOslo]]&gt;=D$428,D$428,Tabell2[[#This Row],[ReisetidOslo]]))</f>
        <v>226.59375</v>
      </c>
      <c r="N288" s="32">
        <f>IF(Tabell2[[#This Row],[Beftettotal]]&lt;=E$427,E$427,IF(Tabell2[[#This Row],[Beftettotal]]&gt;=E$428,E$428,Tabell2[[#This Row],[Beftettotal]]))</f>
        <v>5.3206002728512951</v>
      </c>
      <c r="O288" s="32">
        <f>IF(Tabell2[[#This Row],[Befvekst10]]&lt;=F$427,F$427,IF(Tabell2[[#This Row],[Befvekst10]]&gt;=F$428,F$428,Tabell2[[#This Row],[Befvekst10]]))</f>
        <v>-4.3087971274685777E-2</v>
      </c>
      <c r="P288" s="32">
        <f>IF(Tabell2[[#This Row],[Kvinneandel]]&lt;=G$427,G$427,IF(Tabell2[[#This Row],[Kvinneandel]]&gt;=G$428,G$428,Tabell2[[#This Row],[Kvinneandel]]))</f>
        <v>9.0681676047529705E-2</v>
      </c>
      <c r="Q288" s="32">
        <f>IF(Tabell2[[#This Row],[Eldreandel]]&lt;=H$427,H$427,IF(Tabell2[[#This Row],[Eldreandel]]&gt;=H$428,H$428,Tabell2[[#This Row],[Eldreandel]]))</f>
        <v>0.22303194152148736</v>
      </c>
      <c r="R288" s="32">
        <f>IF(Tabell2[[#This Row],[Sysselsettingsvekst10]]&lt;=I$427,I$427,IF(Tabell2[[#This Row],[Sysselsettingsvekst10]]&gt;=I$428,I$428,Tabell2[[#This Row],[Sysselsettingsvekst10]]))</f>
        <v>-6.6666666666666652E-2</v>
      </c>
      <c r="S288" s="32">
        <f>IF(Tabell2[[#This Row],[Yrkesaktivandel]]&lt;=J$427,J$427,IF(Tabell2[[#This Row],[Yrkesaktivandel]]&gt;=J$428,J$428,Tabell2[[#This Row],[Yrkesaktivandel]]))</f>
        <v>0.84687868080094231</v>
      </c>
      <c r="T288" s="67">
        <f>IF(Tabell2[[#This Row],[Inntekt]]&lt;=K$427,K$427,IF(Tabell2[[#This Row],[Inntekt]]&gt;=K$428,K$428,Tabell2[[#This Row],[Inntekt]]))</f>
        <v>366800</v>
      </c>
      <c r="U288" s="10">
        <f>IF(Tabell2[[#This Row],[NIBR11-T]]&lt;=L$430,100,IF(Tabell2[[#This Row],[NIBR11-T]]&gt;=L$429,0,100*(L$429-Tabell2[[#This Row],[NIBR11-T]])/L$432))</f>
        <v>20</v>
      </c>
      <c r="V288" s="10">
        <f>(M$429-Tabell2[[#This Row],[ReisetidOslo-T]])*100/M$432</f>
        <v>25.909208714940153</v>
      </c>
      <c r="W288" s="10">
        <f>100-(N$429-Tabell2[[#This Row],[Beftettotal-T]])*100/N$432</f>
        <v>3.0372386835541221</v>
      </c>
      <c r="X288" s="10">
        <f>100-(O$429-Tabell2[[#This Row],[Befvekst10-T]])*100/O$432</f>
        <v>4.9274597176252541</v>
      </c>
      <c r="Y288" s="10">
        <f>100-(P$429-Tabell2[[#This Row],[Kvinneandel-T]])*100/P$432</f>
        <v>2.0205039614307481</v>
      </c>
      <c r="Z288" s="10">
        <f>(Q$429-Tabell2[[#This Row],[Eldreandel-T]])*100/Q$432</f>
        <v>0</v>
      </c>
      <c r="AA288" s="10">
        <f>100-(R$429-Tabell2[[#This Row],[Sysselsettingsvekst10-T]])*100/R$432</f>
        <v>14.040291257857817</v>
      </c>
      <c r="AB288" s="10">
        <f>100-(S$429-Tabell2[[#This Row],[Yrkesaktivandel-T]])*100/S$432</f>
        <v>38.653097664147474</v>
      </c>
      <c r="AC288" s="10">
        <f>100-(T$429-Tabell2[[#This Row],[Inntekt-T]])*100/T$432</f>
        <v>8.5193824280795241</v>
      </c>
      <c r="AD28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14.102439016454499</v>
      </c>
    </row>
    <row r="289" spans="1:30" x14ac:dyDescent="0.25">
      <c r="A289" s="2" t="s">
        <v>283</v>
      </c>
      <c r="B289" s="2">
        <v>287</v>
      </c>
      <c r="C289">
        <f>'Rådata-K'!N288</f>
        <v>11</v>
      </c>
      <c r="D289" s="30">
        <f>'Rådata-K'!M288</f>
        <v>259.75</v>
      </c>
      <c r="E289" s="32">
        <f>'Rådata-K'!O288</f>
        <v>7.9438049354565861</v>
      </c>
      <c r="F289" s="32">
        <f>'Rådata-K'!P288</f>
        <v>-2.3094688221708681E-3</v>
      </c>
      <c r="G289" s="32">
        <f>'Rådata-K'!Q288</f>
        <v>0.1037037037037037</v>
      </c>
      <c r="H289" s="32">
        <f>'Rådata-K'!R288</f>
        <v>0.20185185185185187</v>
      </c>
      <c r="I289" s="32">
        <f>'Rådata-K'!S288</f>
        <v>0.12473347547974423</v>
      </c>
      <c r="J289" s="32">
        <f>'Rådata-K'!T288</f>
        <v>0.88604459124690338</v>
      </c>
      <c r="K289" s="67">
        <f>'Rådata-K'!L288</f>
        <v>398100</v>
      </c>
      <c r="L289" s="18">
        <f>Tabell2[[#This Row],[NIBR11]]</f>
        <v>11</v>
      </c>
      <c r="M289" s="32">
        <f>IF(Tabell2[[#This Row],[ReisetidOslo]]&lt;=D$427,D$427,IF(Tabell2[[#This Row],[ReisetidOslo]]&gt;=D$428,D$428,Tabell2[[#This Row],[ReisetidOslo]]))</f>
        <v>259.75</v>
      </c>
      <c r="N289" s="32">
        <f>IF(Tabell2[[#This Row],[Beftettotal]]&lt;=E$427,E$427,IF(Tabell2[[#This Row],[Beftettotal]]&gt;=E$428,E$428,Tabell2[[#This Row],[Beftettotal]]))</f>
        <v>7.9438049354565861</v>
      </c>
      <c r="O289" s="32">
        <f>IF(Tabell2[[#This Row],[Befvekst10]]&lt;=F$427,F$427,IF(Tabell2[[#This Row],[Befvekst10]]&gt;=F$428,F$428,Tabell2[[#This Row],[Befvekst10]]))</f>
        <v>-2.3094688221708681E-3</v>
      </c>
      <c r="P289" s="32">
        <f>IF(Tabell2[[#This Row],[Kvinneandel]]&lt;=G$427,G$427,IF(Tabell2[[#This Row],[Kvinneandel]]&gt;=G$428,G$428,Tabell2[[#This Row],[Kvinneandel]]))</f>
        <v>0.1037037037037037</v>
      </c>
      <c r="Q289" s="32">
        <f>IF(Tabell2[[#This Row],[Eldreandel]]&lt;=H$427,H$427,IF(Tabell2[[#This Row],[Eldreandel]]&gt;=H$428,H$428,Tabell2[[#This Row],[Eldreandel]]))</f>
        <v>0.20185185185185187</v>
      </c>
      <c r="R289" s="32">
        <f>IF(Tabell2[[#This Row],[Sysselsettingsvekst10]]&lt;=I$427,I$427,IF(Tabell2[[#This Row],[Sysselsettingsvekst10]]&gt;=I$428,I$428,Tabell2[[#This Row],[Sysselsettingsvekst10]]))</f>
        <v>0.12473347547974423</v>
      </c>
      <c r="S289" s="32">
        <f>IF(Tabell2[[#This Row],[Yrkesaktivandel]]&lt;=J$427,J$427,IF(Tabell2[[#This Row],[Yrkesaktivandel]]&gt;=J$428,J$428,Tabell2[[#This Row],[Yrkesaktivandel]]))</f>
        <v>0.88604459124690338</v>
      </c>
      <c r="T289" s="67">
        <f>IF(Tabell2[[#This Row],[Inntekt]]&lt;=K$427,K$427,IF(Tabell2[[#This Row],[Inntekt]]&gt;=K$428,K$428,Tabell2[[#This Row],[Inntekt]]))</f>
        <v>398100</v>
      </c>
      <c r="U289" s="10">
        <f>IF(Tabell2[[#This Row],[NIBR11-T]]&lt;=L$430,100,IF(Tabell2[[#This Row],[NIBR11-T]]&gt;=L$429,0,100*(L$429-Tabell2[[#This Row],[NIBR11-T]])/L$432))</f>
        <v>0</v>
      </c>
      <c r="V289" s="10">
        <f>(M$429-Tabell2[[#This Row],[ReisetidOslo-T]])*100/M$432</f>
        <v>11.624408025607643</v>
      </c>
      <c r="W289" s="10">
        <f>100-(N$429-Tabell2[[#This Row],[Beftettotal-T]])*100/N$432</f>
        <v>4.9923284939460046</v>
      </c>
      <c r="X289" s="10">
        <f>100-(O$429-Tabell2[[#This Row],[Befvekst10-T]])*100/O$432</f>
        <v>22.493811164371962</v>
      </c>
      <c r="Y289" s="10">
        <f>100-(P$429-Tabell2[[#This Row],[Kvinneandel-T]])*100/P$432</f>
        <v>36.415627186616874</v>
      </c>
      <c r="Z289" s="10">
        <f>(Q$429-Tabell2[[#This Row],[Eldreandel-T]])*100/Q$432</f>
        <v>22.845104593306353</v>
      </c>
      <c r="AA289" s="10">
        <f>100-(R$429-Tabell2[[#This Row],[Sysselsettingsvekst10-T]])*100/R$432</f>
        <v>81.000508615845561</v>
      </c>
      <c r="AB289" s="10">
        <f>100-(S$429-Tabell2[[#This Row],[Yrkesaktivandel-T]])*100/S$432</f>
        <v>69.031895615954753</v>
      </c>
      <c r="AC289" s="10">
        <f>100-(T$429-Tabell2[[#This Row],[Inntekt-T]])*100/T$432</f>
        <v>43.28557147617461</v>
      </c>
      <c r="AD28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28.455270044623411</v>
      </c>
    </row>
    <row r="290" spans="1:30" x14ac:dyDescent="0.25">
      <c r="A290" s="2" t="s">
        <v>284</v>
      </c>
      <c r="B290" s="2">
        <v>288</v>
      </c>
      <c r="C290">
        <f>'Rådata-K'!N289</f>
        <v>11</v>
      </c>
      <c r="D290" s="30">
        <f>'Rådata-K'!M289</f>
        <v>227.03125</v>
      </c>
      <c r="E290" s="32">
        <f>'Rådata-K'!O289</f>
        <v>5.5973058093485921</v>
      </c>
      <c r="F290" s="32">
        <f>'Rådata-K'!P289</f>
        <v>2.1337126600284417E-2</v>
      </c>
      <c r="G290" s="32">
        <f>'Rådata-K'!Q289</f>
        <v>9.6657381615598892E-2</v>
      </c>
      <c r="H290" s="32">
        <f>'Rådata-K'!R289</f>
        <v>0.20584958217270194</v>
      </c>
      <c r="I290" s="32">
        <f>'Rådata-K'!S289</f>
        <v>2.0274689339437435E-2</v>
      </c>
      <c r="J290" s="32">
        <f>'Rådata-K'!T289</f>
        <v>0.87961065573770492</v>
      </c>
      <c r="K290" s="67">
        <f>'Rådata-K'!L289</f>
        <v>400900</v>
      </c>
      <c r="L290" s="18">
        <f>Tabell2[[#This Row],[NIBR11]]</f>
        <v>11</v>
      </c>
      <c r="M290" s="32">
        <f>IF(Tabell2[[#This Row],[ReisetidOslo]]&lt;=D$427,D$427,IF(Tabell2[[#This Row],[ReisetidOslo]]&gt;=D$428,D$428,Tabell2[[#This Row],[ReisetidOslo]]))</f>
        <v>227.03125</v>
      </c>
      <c r="N290" s="32">
        <f>IF(Tabell2[[#This Row],[Beftettotal]]&lt;=E$427,E$427,IF(Tabell2[[#This Row],[Beftettotal]]&gt;=E$428,E$428,Tabell2[[#This Row],[Beftettotal]]))</f>
        <v>5.5973058093485921</v>
      </c>
      <c r="O290" s="32">
        <f>IF(Tabell2[[#This Row],[Befvekst10]]&lt;=F$427,F$427,IF(Tabell2[[#This Row],[Befvekst10]]&gt;=F$428,F$428,Tabell2[[#This Row],[Befvekst10]]))</f>
        <v>2.1337126600284417E-2</v>
      </c>
      <c r="P290" s="32">
        <f>IF(Tabell2[[#This Row],[Kvinneandel]]&lt;=G$427,G$427,IF(Tabell2[[#This Row],[Kvinneandel]]&gt;=G$428,G$428,Tabell2[[#This Row],[Kvinneandel]]))</f>
        <v>9.6657381615598892E-2</v>
      </c>
      <c r="Q290" s="32">
        <f>IF(Tabell2[[#This Row],[Eldreandel]]&lt;=H$427,H$427,IF(Tabell2[[#This Row],[Eldreandel]]&gt;=H$428,H$428,Tabell2[[#This Row],[Eldreandel]]))</f>
        <v>0.20584958217270194</v>
      </c>
      <c r="R290" s="32">
        <f>IF(Tabell2[[#This Row],[Sysselsettingsvekst10]]&lt;=I$427,I$427,IF(Tabell2[[#This Row],[Sysselsettingsvekst10]]&gt;=I$428,I$428,Tabell2[[#This Row],[Sysselsettingsvekst10]]))</f>
        <v>2.0274689339437435E-2</v>
      </c>
      <c r="S290" s="32">
        <f>IF(Tabell2[[#This Row],[Yrkesaktivandel]]&lt;=J$427,J$427,IF(Tabell2[[#This Row],[Yrkesaktivandel]]&gt;=J$428,J$428,Tabell2[[#This Row],[Yrkesaktivandel]]))</f>
        <v>0.87961065573770492</v>
      </c>
      <c r="T290" s="67">
        <f>IF(Tabell2[[#This Row],[Inntekt]]&lt;=K$427,K$427,IF(Tabell2[[#This Row],[Inntekt]]&gt;=K$428,K$428,Tabell2[[#This Row],[Inntekt]]))</f>
        <v>400900</v>
      </c>
      <c r="U290" s="10">
        <f>IF(Tabell2[[#This Row],[NIBR11-T]]&lt;=L$430,100,IF(Tabell2[[#This Row],[NIBR11-T]]&gt;=L$429,0,100*(L$429-Tabell2[[#This Row],[NIBR11-T]])/L$432))</f>
        <v>0</v>
      </c>
      <c r="V290" s="10">
        <f>(M$429-Tabell2[[#This Row],[ReisetidOslo-T]])*100/M$432</f>
        <v>25.720719356174218</v>
      </c>
      <c r="W290" s="10">
        <f>100-(N$429-Tabell2[[#This Row],[Beftettotal-T]])*100/N$432</f>
        <v>3.2434689417557934</v>
      </c>
      <c r="X290" s="10">
        <f>100-(O$429-Tabell2[[#This Row],[Befvekst10-T]])*100/O$432</f>
        <v>32.680168699045566</v>
      </c>
      <c r="Y290" s="10">
        <f>100-(P$429-Tabell2[[#This Row],[Kvinneandel-T]])*100/P$432</f>
        <v>17.804154157698164</v>
      </c>
      <c r="Z290" s="10">
        <f>(Q$429-Tabell2[[#This Row],[Eldreandel-T]])*100/Q$432</f>
        <v>18.533103617853268</v>
      </c>
      <c r="AA290" s="10">
        <f>100-(R$429-Tabell2[[#This Row],[Sysselsettingsvekst10-T]])*100/R$432</f>
        <v>44.456214831800104</v>
      </c>
      <c r="AB290" s="10">
        <f>100-(S$429-Tabell2[[#This Row],[Yrkesaktivandel-T]])*100/S$432</f>
        <v>64.041453043744497</v>
      </c>
      <c r="AC290" s="10">
        <f>100-(T$429-Tabell2[[#This Row],[Inntekt-T]])*100/T$432</f>
        <v>46.395645895812507</v>
      </c>
      <c r="AD29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26.738646835515397</v>
      </c>
    </row>
    <row r="291" spans="1:30" x14ac:dyDescent="0.25">
      <c r="A291" s="2" t="s">
        <v>877</v>
      </c>
      <c r="B291" s="2">
        <v>289</v>
      </c>
      <c r="C291">
        <f>'Rådata-K'!N290</f>
        <v>2</v>
      </c>
      <c r="D291" s="30">
        <f>'Rådata-K'!M290</f>
        <v>179.15625</v>
      </c>
      <c r="E291" s="32">
        <f>'Rådata-K'!O290</f>
        <v>556.57052686946611</v>
      </c>
      <c r="F291" s="32">
        <f>'Rådata-K'!P290</f>
        <v>0.17766648117232431</v>
      </c>
      <c r="G291" s="32">
        <f>'Rådata-K'!Q290</f>
        <v>0.15554645497311828</v>
      </c>
      <c r="H291" s="32">
        <f>'Rådata-K'!R290</f>
        <v>0.12246933803763441</v>
      </c>
      <c r="I291" s="32">
        <f>'Rådata-K'!S290</f>
        <v>0.13170276548013748</v>
      </c>
      <c r="J291" s="32">
        <f>'Rådata-K'!T290</f>
        <v>0.81425934855261628</v>
      </c>
      <c r="K291" s="67">
        <f>'Rådata-K'!L290</f>
        <v>439900</v>
      </c>
      <c r="L291" s="18">
        <f>Tabell2[[#This Row],[NIBR11]]</f>
        <v>2</v>
      </c>
      <c r="M291" s="32">
        <f>IF(Tabell2[[#This Row],[ReisetidOslo]]&lt;=D$427,D$427,IF(Tabell2[[#This Row],[ReisetidOslo]]&gt;=D$428,D$428,Tabell2[[#This Row],[ReisetidOslo]]))</f>
        <v>179.15625</v>
      </c>
      <c r="N291" s="32">
        <f>IF(Tabell2[[#This Row],[Beftettotal]]&lt;=E$427,E$427,IF(Tabell2[[#This Row],[Beftettotal]]&gt;=E$428,E$428,Tabell2[[#This Row],[Beftettotal]]))</f>
        <v>135.41854576488009</v>
      </c>
      <c r="O291" s="32">
        <f>IF(Tabell2[[#This Row],[Befvekst10]]&lt;=F$427,F$427,IF(Tabell2[[#This Row],[Befvekst10]]&gt;=F$428,F$428,Tabell2[[#This Row],[Befvekst10]]))</f>
        <v>0.17761328412400704</v>
      </c>
      <c r="P291" s="32">
        <f>IF(Tabell2[[#This Row],[Kvinneandel]]&lt;=G$427,G$427,IF(Tabell2[[#This Row],[Kvinneandel]]&gt;=G$428,G$428,Tabell2[[#This Row],[Kvinneandel]]))</f>
        <v>0.12777681011054584</v>
      </c>
      <c r="Q291" s="32">
        <f>IF(Tabell2[[#This Row],[Eldreandel]]&lt;=H$427,H$427,IF(Tabell2[[#This Row],[Eldreandel]]&gt;=H$428,H$428,Tabell2[[#This Row],[Eldreandel]]))</f>
        <v>0.13032022035982854</v>
      </c>
      <c r="R291" s="32">
        <f>IF(Tabell2[[#This Row],[Sysselsettingsvekst10]]&lt;=I$427,I$427,IF(Tabell2[[#This Row],[Sysselsettingsvekst10]]&gt;=I$428,I$428,Tabell2[[#This Row],[Sysselsettingsvekst10]]))</f>
        <v>0.13170276548013748</v>
      </c>
      <c r="S291" s="32">
        <f>IF(Tabell2[[#This Row],[Yrkesaktivandel]]&lt;=J$427,J$427,IF(Tabell2[[#This Row],[Yrkesaktivandel]]&gt;=J$428,J$428,Tabell2[[#This Row],[Yrkesaktivandel]]))</f>
        <v>0.81425934855261628</v>
      </c>
      <c r="T291" s="67">
        <f>IF(Tabell2[[#This Row],[Inntekt]]&lt;=K$427,K$427,IF(Tabell2[[#This Row],[Inntekt]]&gt;=K$428,K$428,Tabell2[[#This Row],[Inntekt]]))</f>
        <v>439900</v>
      </c>
      <c r="U291" s="10">
        <f>IF(Tabell2[[#This Row],[NIBR11-T]]&lt;=L$430,100,IF(Tabell2[[#This Row],[NIBR11-T]]&gt;=L$429,0,100*(L$429-Tabell2[[#This Row],[NIBR11-T]])/L$432))</f>
        <v>90</v>
      </c>
      <c r="V291" s="10">
        <f>(M$429-Tabell2[[#This Row],[ReisetidOslo-T]])*100/M$432</f>
        <v>46.346840615417761</v>
      </c>
      <c r="W291" s="10">
        <f>100-(N$429-Tabell2[[#This Row],[Beftettotal-T]])*100/N$432</f>
        <v>100</v>
      </c>
      <c r="X291" s="10">
        <f>100-(O$429-Tabell2[[#This Row],[Befvekst10-T]])*100/O$432</f>
        <v>100</v>
      </c>
      <c r="Y291" s="10">
        <f>100-(P$429-Tabell2[[#This Row],[Kvinneandel-T]])*100/P$432</f>
        <v>100</v>
      </c>
      <c r="Z291" s="10">
        <f>(Q$429-Tabell2[[#This Row],[Eldreandel-T]])*100/Q$432</f>
        <v>100</v>
      </c>
      <c r="AA291" s="10">
        <f>100-(R$429-Tabell2[[#This Row],[Sysselsettingsvekst10-T]])*100/R$432</f>
        <v>83.438673854511933</v>
      </c>
      <c r="AB291" s="10">
        <f>100-(S$429-Tabell2[[#This Row],[Yrkesaktivandel-T]])*100/S$432</f>
        <v>13.352112894190313</v>
      </c>
      <c r="AC291" s="10">
        <f>100-(T$429-Tabell2[[#This Row],[Inntekt-T]])*100/T$432</f>
        <v>89.714539597911809</v>
      </c>
      <c r="AD29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81.285216696203179</v>
      </c>
    </row>
    <row r="292" spans="1:30" x14ac:dyDescent="0.25">
      <c r="A292" s="2" t="s">
        <v>878</v>
      </c>
      <c r="B292" s="2">
        <v>290</v>
      </c>
      <c r="C292">
        <f>'Rådata-K'!N291</f>
        <v>6</v>
      </c>
      <c r="D292" s="30">
        <f>'Rådata-K'!M291</f>
        <v>227.6875</v>
      </c>
      <c r="E292" s="32">
        <f>'Rådata-K'!O291</f>
        <v>14.043654725000799</v>
      </c>
      <c r="F292" s="32">
        <f>'Rådata-K'!P291</f>
        <v>6.5360744763382383E-2</v>
      </c>
      <c r="G292" s="32">
        <f>'Rådata-K'!Q291</f>
        <v>0.11255233934097943</v>
      </c>
      <c r="H292" s="32">
        <f>'Rådata-K'!R291</f>
        <v>0.17836337156380849</v>
      </c>
      <c r="I292" s="32">
        <f>'Rådata-K'!S291</f>
        <v>6.6639577407557882E-2</v>
      </c>
      <c r="J292" s="32">
        <f>'Rådata-K'!T291</f>
        <v>0.84412955465587047</v>
      </c>
      <c r="K292" s="67">
        <f>'Rådata-K'!L291</f>
        <v>383100</v>
      </c>
      <c r="L292" s="18">
        <f>Tabell2[[#This Row],[NIBR11]]</f>
        <v>6</v>
      </c>
      <c r="M292" s="32">
        <f>IF(Tabell2[[#This Row],[ReisetidOslo]]&lt;=D$427,D$427,IF(Tabell2[[#This Row],[ReisetidOslo]]&gt;=D$428,D$428,Tabell2[[#This Row],[ReisetidOslo]]))</f>
        <v>227.6875</v>
      </c>
      <c r="N292" s="32">
        <f>IF(Tabell2[[#This Row],[Beftettotal]]&lt;=E$427,E$427,IF(Tabell2[[#This Row],[Beftettotal]]&gt;=E$428,E$428,Tabell2[[#This Row],[Beftettotal]]))</f>
        <v>14.043654725000799</v>
      </c>
      <c r="O292" s="32">
        <f>IF(Tabell2[[#This Row],[Befvekst10]]&lt;=F$427,F$427,IF(Tabell2[[#This Row],[Befvekst10]]&gt;=F$428,F$428,Tabell2[[#This Row],[Befvekst10]]))</f>
        <v>6.5360744763382383E-2</v>
      </c>
      <c r="P292" s="32">
        <f>IF(Tabell2[[#This Row],[Kvinneandel]]&lt;=G$427,G$427,IF(Tabell2[[#This Row],[Kvinneandel]]&gt;=G$428,G$428,Tabell2[[#This Row],[Kvinneandel]]))</f>
        <v>0.11255233934097943</v>
      </c>
      <c r="Q292" s="32">
        <f>IF(Tabell2[[#This Row],[Eldreandel]]&lt;=H$427,H$427,IF(Tabell2[[#This Row],[Eldreandel]]&gt;=H$428,H$428,Tabell2[[#This Row],[Eldreandel]]))</f>
        <v>0.17836337156380849</v>
      </c>
      <c r="R292" s="32">
        <f>IF(Tabell2[[#This Row],[Sysselsettingsvekst10]]&lt;=I$427,I$427,IF(Tabell2[[#This Row],[Sysselsettingsvekst10]]&gt;=I$428,I$428,Tabell2[[#This Row],[Sysselsettingsvekst10]]))</f>
        <v>6.6639577407557882E-2</v>
      </c>
      <c r="S292" s="32">
        <f>IF(Tabell2[[#This Row],[Yrkesaktivandel]]&lt;=J$427,J$427,IF(Tabell2[[#This Row],[Yrkesaktivandel]]&gt;=J$428,J$428,Tabell2[[#This Row],[Yrkesaktivandel]]))</f>
        <v>0.84412955465587047</v>
      </c>
      <c r="T292" s="67">
        <f>IF(Tabell2[[#This Row],[Inntekt]]&lt;=K$427,K$427,IF(Tabell2[[#This Row],[Inntekt]]&gt;=K$428,K$428,Tabell2[[#This Row],[Inntekt]]))</f>
        <v>383100</v>
      </c>
      <c r="U292" s="10">
        <f>IF(Tabell2[[#This Row],[NIBR11-T]]&lt;=L$430,100,IF(Tabell2[[#This Row],[NIBR11-T]]&gt;=L$429,0,100*(L$429-Tabell2[[#This Row],[NIBR11-T]])/L$432))</f>
        <v>50</v>
      </c>
      <c r="V292" s="10">
        <f>(M$429-Tabell2[[#This Row],[ReisetidOslo-T]])*100/M$432</f>
        <v>25.437985318025319</v>
      </c>
      <c r="W292" s="10">
        <f>100-(N$429-Tabell2[[#This Row],[Beftettotal-T]])*100/N$432</f>
        <v>9.5385822950560879</v>
      </c>
      <c r="X292" s="10">
        <f>100-(O$429-Tabell2[[#This Row],[Befvekst10-T]])*100/O$432</f>
        <v>51.644434233585002</v>
      </c>
      <c r="Y292" s="10">
        <f>100-(P$429-Tabell2[[#This Row],[Kvinneandel-T]])*100/P$432</f>
        <v>59.787556747415628</v>
      </c>
      <c r="Z292" s="10">
        <f>(Q$429-Tabell2[[#This Row],[Eldreandel-T]])*100/Q$432</f>
        <v>48.18006763113754</v>
      </c>
      <c r="AA292" s="10">
        <f>100-(R$429-Tabell2[[#This Row],[Sysselsettingsvekst10-T]])*100/R$432</f>
        <v>60.676699038364909</v>
      </c>
      <c r="AB292" s="10">
        <f>100-(S$429-Tabell2[[#This Row],[Yrkesaktivandel-T]])*100/S$432</f>
        <v>36.52075484984222</v>
      </c>
      <c r="AC292" s="10">
        <f>100-(T$429-Tabell2[[#This Row],[Inntekt-T]])*100/T$432</f>
        <v>26.624458513828728</v>
      </c>
      <c r="AD29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41.607116067156383</v>
      </c>
    </row>
    <row r="293" spans="1:30" x14ac:dyDescent="0.25">
      <c r="A293" s="2" t="s">
        <v>879</v>
      </c>
      <c r="B293" s="2">
        <v>291</v>
      </c>
      <c r="C293">
        <f>'Rådata-K'!N292</f>
        <v>6</v>
      </c>
      <c r="D293" s="30">
        <f>'Rådata-K'!M292</f>
        <v>214.6875</v>
      </c>
      <c r="E293" s="32">
        <f>'Rådata-K'!O292</f>
        <v>16.761921886438653</v>
      </c>
      <c r="F293" s="32">
        <f>'Rådata-K'!P292</f>
        <v>3.8017975025849138E-2</v>
      </c>
      <c r="G293" s="32">
        <f>'Rådata-K'!Q292</f>
        <v>0.1183051107194851</v>
      </c>
      <c r="H293" s="32">
        <f>'Rådata-K'!R292</f>
        <v>0.15722933108574055</v>
      </c>
      <c r="I293" s="32">
        <f>'Rådata-K'!S292</f>
        <v>3.5960443512136564E-2</v>
      </c>
      <c r="J293" s="32">
        <f>'Rådata-K'!T292</f>
        <v>0.87857631759069132</v>
      </c>
      <c r="K293" s="67">
        <f>'Rådata-K'!L292</f>
        <v>392800</v>
      </c>
      <c r="L293" s="18">
        <f>Tabell2[[#This Row],[NIBR11]]</f>
        <v>6</v>
      </c>
      <c r="M293" s="32">
        <f>IF(Tabell2[[#This Row],[ReisetidOslo]]&lt;=D$427,D$427,IF(Tabell2[[#This Row],[ReisetidOslo]]&gt;=D$428,D$428,Tabell2[[#This Row],[ReisetidOslo]]))</f>
        <v>214.6875</v>
      </c>
      <c r="N293" s="32">
        <f>IF(Tabell2[[#This Row],[Beftettotal]]&lt;=E$427,E$427,IF(Tabell2[[#This Row],[Beftettotal]]&gt;=E$428,E$428,Tabell2[[#This Row],[Beftettotal]]))</f>
        <v>16.761921886438653</v>
      </c>
      <c r="O293" s="32">
        <f>IF(Tabell2[[#This Row],[Befvekst10]]&lt;=F$427,F$427,IF(Tabell2[[#This Row],[Befvekst10]]&gt;=F$428,F$428,Tabell2[[#This Row],[Befvekst10]]))</f>
        <v>3.8017975025849138E-2</v>
      </c>
      <c r="P293" s="32">
        <f>IF(Tabell2[[#This Row],[Kvinneandel]]&lt;=G$427,G$427,IF(Tabell2[[#This Row],[Kvinneandel]]&gt;=G$428,G$428,Tabell2[[#This Row],[Kvinneandel]]))</f>
        <v>0.1183051107194851</v>
      </c>
      <c r="Q293" s="32">
        <f>IF(Tabell2[[#This Row],[Eldreandel]]&lt;=H$427,H$427,IF(Tabell2[[#This Row],[Eldreandel]]&gt;=H$428,H$428,Tabell2[[#This Row],[Eldreandel]]))</f>
        <v>0.15722933108574055</v>
      </c>
      <c r="R293" s="32">
        <f>IF(Tabell2[[#This Row],[Sysselsettingsvekst10]]&lt;=I$427,I$427,IF(Tabell2[[#This Row],[Sysselsettingsvekst10]]&gt;=I$428,I$428,Tabell2[[#This Row],[Sysselsettingsvekst10]]))</f>
        <v>3.5960443512136564E-2</v>
      </c>
      <c r="S293" s="32">
        <f>IF(Tabell2[[#This Row],[Yrkesaktivandel]]&lt;=J$427,J$427,IF(Tabell2[[#This Row],[Yrkesaktivandel]]&gt;=J$428,J$428,Tabell2[[#This Row],[Yrkesaktivandel]]))</f>
        <v>0.87857631759069132</v>
      </c>
      <c r="T293" s="67">
        <f>IF(Tabell2[[#This Row],[Inntekt]]&lt;=K$427,K$427,IF(Tabell2[[#This Row],[Inntekt]]&gt;=K$428,K$428,Tabell2[[#This Row],[Inntekt]]))</f>
        <v>392800</v>
      </c>
      <c r="U293" s="10">
        <f>IF(Tabell2[[#This Row],[NIBR11-T]]&lt;=L$430,100,IF(Tabell2[[#This Row],[NIBR11-T]]&gt;=L$429,0,100*(L$429-Tabell2[[#This Row],[NIBR11-T]])/L$432))</f>
        <v>50</v>
      </c>
      <c r="V293" s="10">
        <f>(M$429-Tabell2[[#This Row],[ReisetidOslo-T]])*100/M$432</f>
        <v>31.038811978498764</v>
      </c>
      <c r="W293" s="10">
        <f>100-(N$429-Tabell2[[#This Row],[Beftettotal-T]])*100/N$432</f>
        <v>11.564522743016354</v>
      </c>
      <c r="X293" s="10">
        <f>100-(O$429-Tabell2[[#This Row],[Befvekst10-T]])*100/O$432</f>
        <v>39.865857928673222</v>
      </c>
      <c r="Y293" s="10">
        <f>100-(P$429-Tabell2[[#This Row],[Kvinneandel-T]])*100/P$432</f>
        <v>74.982370157001185</v>
      </c>
      <c r="Z293" s="10">
        <f>(Q$429-Tabell2[[#This Row],[Eldreandel-T]])*100/Q$432</f>
        <v>70.975503001404377</v>
      </c>
      <c r="AA293" s="10">
        <f>100-(R$429-Tabell2[[#This Row],[Sysselsettingsvekst10-T]])*100/R$432</f>
        <v>49.943783947733451</v>
      </c>
      <c r="AB293" s="10">
        <f>100-(S$429-Tabell2[[#This Row],[Yrkesaktivandel-T]])*100/S$432</f>
        <v>63.239175011032181</v>
      </c>
      <c r="AC293" s="10">
        <f>100-(T$429-Tabell2[[#This Row],[Inntekt-T]])*100/T$432</f>
        <v>37.398644896145733</v>
      </c>
      <c r="AD29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44.589559101297574</v>
      </c>
    </row>
    <row r="294" spans="1:30" x14ac:dyDescent="0.25">
      <c r="A294" s="2" t="s">
        <v>880</v>
      </c>
      <c r="B294" s="2">
        <v>292</v>
      </c>
      <c r="C294">
        <f>'Rådata-K'!N293</f>
        <v>9</v>
      </c>
      <c r="D294" s="30">
        <f>'Rådata-K'!M293</f>
        <v>251.71875</v>
      </c>
      <c r="E294" s="32">
        <f>'Rådata-K'!O293</f>
        <v>6.3576653231825651</v>
      </c>
      <c r="F294" s="32">
        <f>'Rådata-K'!P293</f>
        <v>2.8255238992229703E-3</v>
      </c>
      <c r="G294" s="32">
        <f>'Rådata-K'!Q293</f>
        <v>0.11246771542615637</v>
      </c>
      <c r="H294" s="32">
        <f>'Rådata-K'!R293</f>
        <v>0.187367926743367</v>
      </c>
      <c r="I294" s="32">
        <f>'Rådata-K'!S293</f>
        <v>0.13124274099883859</v>
      </c>
      <c r="J294" s="32">
        <f>'Rådata-K'!T293</f>
        <v>0.87694300518134716</v>
      </c>
      <c r="K294" s="67">
        <f>'Rådata-K'!L293</f>
        <v>376300</v>
      </c>
      <c r="L294" s="18">
        <f>Tabell2[[#This Row],[NIBR11]]</f>
        <v>9</v>
      </c>
      <c r="M294" s="32">
        <f>IF(Tabell2[[#This Row],[ReisetidOslo]]&lt;=D$427,D$427,IF(Tabell2[[#This Row],[ReisetidOslo]]&gt;=D$428,D$428,Tabell2[[#This Row],[ReisetidOslo]]))</f>
        <v>251.71875</v>
      </c>
      <c r="N294" s="32">
        <f>IF(Tabell2[[#This Row],[Beftettotal]]&lt;=E$427,E$427,IF(Tabell2[[#This Row],[Beftettotal]]&gt;=E$428,E$428,Tabell2[[#This Row],[Beftettotal]]))</f>
        <v>6.3576653231825651</v>
      </c>
      <c r="O294" s="32">
        <f>IF(Tabell2[[#This Row],[Befvekst10]]&lt;=F$427,F$427,IF(Tabell2[[#This Row],[Befvekst10]]&gt;=F$428,F$428,Tabell2[[#This Row],[Befvekst10]]))</f>
        <v>2.8255238992229703E-3</v>
      </c>
      <c r="P294" s="32">
        <f>IF(Tabell2[[#This Row],[Kvinneandel]]&lt;=G$427,G$427,IF(Tabell2[[#This Row],[Kvinneandel]]&gt;=G$428,G$428,Tabell2[[#This Row],[Kvinneandel]]))</f>
        <v>0.11246771542615637</v>
      </c>
      <c r="Q294" s="32">
        <f>IF(Tabell2[[#This Row],[Eldreandel]]&lt;=H$427,H$427,IF(Tabell2[[#This Row],[Eldreandel]]&gt;=H$428,H$428,Tabell2[[#This Row],[Eldreandel]]))</f>
        <v>0.187367926743367</v>
      </c>
      <c r="R294" s="32">
        <f>IF(Tabell2[[#This Row],[Sysselsettingsvekst10]]&lt;=I$427,I$427,IF(Tabell2[[#This Row],[Sysselsettingsvekst10]]&gt;=I$428,I$428,Tabell2[[#This Row],[Sysselsettingsvekst10]]))</f>
        <v>0.13124274099883859</v>
      </c>
      <c r="S294" s="32">
        <f>IF(Tabell2[[#This Row],[Yrkesaktivandel]]&lt;=J$427,J$427,IF(Tabell2[[#This Row],[Yrkesaktivandel]]&gt;=J$428,J$428,Tabell2[[#This Row],[Yrkesaktivandel]]))</f>
        <v>0.87694300518134716</v>
      </c>
      <c r="T294" s="67">
        <f>IF(Tabell2[[#This Row],[Inntekt]]&lt;=K$427,K$427,IF(Tabell2[[#This Row],[Inntekt]]&gt;=K$428,K$428,Tabell2[[#This Row],[Inntekt]]))</f>
        <v>376300</v>
      </c>
      <c r="U294" s="10">
        <f>IF(Tabell2[[#This Row],[NIBR11-T]]&lt;=L$430,100,IF(Tabell2[[#This Row],[NIBR11-T]]&gt;=L$429,0,100*(L$429-Tabell2[[#This Row],[NIBR11-T]])/L$432))</f>
        <v>20</v>
      </c>
      <c r="V294" s="10">
        <f>(M$429-Tabell2[[#This Row],[ReisetidOslo-T]])*100/M$432</f>
        <v>15.084534111525132</v>
      </c>
      <c r="W294" s="10">
        <f>100-(N$429-Tabell2[[#This Row],[Beftettotal-T]])*100/N$432</f>
        <v>3.8101693441006432</v>
      </c>
      <c r="X294" s="10">
        <f>100-(O$429-Tabell2[[#This Row],[Befvekst10-T]])*100/O$432</f>
        <v>24.705836653182601</v>
      </c>
      <c r="Y294" s="10">
        <f>100-(P$429-Tabell2[[#This Row],[Kvinneandel-T]])*100/P$432</f>
        <v>59.564039331004928</v>
      </c>
      <c r="Z294" s="10">
        <f>(Q$429-Tabell2[[#This Row],[Eldreandel-T]])*100/Q$432</f>
        <v>38.46764393030093</v>
      </c>
      <c r="AA294" s="10">
        <f>100-(R$429-Tabell2[[#This Row],[Sysselsettingsvekst10-T]])*100/R$432</f>
        <v>83.277736987316686</v>
      </c>
      <c r="AB294" s="10">
        <f>100-(S$429-Tabell2[[#This Row],[Yrkesaktivandel-T]])*100/S$432</f>
        <v>61.972306269550828</v>
      </c>
      <c r="AC294" s="10">
        <f>100-(T$429-Tabell2[[#This Row],[Inntekt-T]])*100/T$432</f>
        <v>19.071420637565254</v>
      </c>
      <c r="AD29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32.164368228707666</v>
      </c>
    </row>
    <row r="295" spans="1:30" x14ac:dyDescent="0.25">
      <c r="A295" s="2" t="s">
        <v>881</v>
      </c>
      <c r="B295" s="2">
        <v>293</v>
      </c>
      <c r="C295">
        <f>'Rådata-K'!N294</f>
        <v>5</v>
      </c>
      <c r="D295" s="30">
        <f>'Rådata-K'!M294</f>
        <v>234.625</v>
      </c>
      <c r="E295" s="32">
        <f>'Rådata-K'!O294</f>
        <v>1.9326143430685665</v>
      </c>
      <c r="F295" s="32">
        <f>'Rådata-K'!P294</f>
        <v>-3.8197845249755114E-2</v>
      </c>
      <c r="G295" s="32">
        <f>'Rådata-K'!Q294</f>
        <v>8.3503054989816694E-2</v>
      </c>
      <c r="H295" s="32">
        <f>'Rådata-K'!R294</f>
        <v>0.20875763747454176</v>
      </c>
      <c r="I295" s="32">
        <f>'Rådata-K'!S294</f>
        <v>-3.2520325203251987E-2</v>
      </c>
      <c r="J295" s="32">
        <f>'Rådata-K'!T294</f>
        <v>0.91160220994475138</v>
      </c>
      <c r="K295" s="67">
        <f>'Rådata-K'!L294</f>
        <v>380800</v>
      </c>
      <c r="L295" s="18">
        <f>Tabell2[[#This Row],[NIBR11]]</f>
        <v>5</v>
      </c>
      <c r="M295" s="32">
        <f>IF(Tabell2[[#This Row],[ReisetidOslo]]&lt;=D$427,D$427,IF(Tabell2[[#This Row],[ReisetidOslo]]&gt;=D$428,D$428,Tabell2[[#This Row],[ReisetidOslo]]))</f>
        <v>234.625</v>
      </c>
      <c r="N295" s="32">
        <f>IF(Tabell2[[#This Row],[Beftettotal]]&lt;=E$427,E$427,IF(Tabell2[[#This Row],[Beftettotal]]&gt;=E$428,E$428,Tabell2[[#This Row],[Beftettotal]]))</f>
        <v>1.9326143430685665</v>
      </c>
      <c r="O295" s="32">
        <f>IF(Tabell2[[#This Row],[Befvekst10]]&lt;=F$427,F$427,IF(Tabell2[[#This Row],[Befvekst10]]&gt;=F$428,F$428,Tabell2[[#This Row],[Befvekst10]]))</f>
        <v>-3.8197845249755114E-2</v>
      </c>
      <c r="P295" s="32">
        <f>IF(Tabell2[[#This Row],[Kvinneandel]]&lt;=G$427,G$427,IF(Tabell2[[#This Row],[Kvinneandel]]&gt;=G$428,G$428,Tabell2[[#This Row],[Kvinneandel]]))</f>
        <v>8.9916711250255951E-2</v>
      </c>
      <c r="Q295" s="32">
        <f>IF(Tabell2[[#This Row],[Eldreandel]]&lt;=H$427,H$427,IF(Tabell2[[#This Row],[Eldreandel]]&gt;=H$428,H$428,Tabell2[[#This Row],[Eldreandel]]))</f>
        <v>0.20875763747454176</v>
      </c>
      <c r="R295" s="32">
        <f>IF(Tabell2[[#This Row],[Sysselsettingsvekst10]]&lt;=I$427,I$427,IF(Tabell2[[#This Row],[Sysselsettingsvekst10]]&gt;=I$428,I$428,Tabell2[[#This Row],[Sysselsettingsvekst10]]))</f>
        <v>-3.2520325203251987E-2</v>
      </c>
      <c r="S295" s="32">
        <f>IF(Tabell2[[#This Row],[Yrkesaktivandel]]&lt;=J$427,J$427,IF(Tabell2[[#This Row],[Yrkesaktivandel]]&gt;=J$428,J$428,Tabell2[[#This Row],[Yrkesaktivandel]]))</f>
        <v>0.91160220994475138</v>
      </c>
      <c r="T295" s="67">
        <f>IF(Tabell2[[#This Row],[Inntekt]]&lt;=K$427,K$427,IF(Tabell2[[#This Row],[Inntekt]]&gt;=K$428,K$428,Tabell2[[#This Row],[Inntekt]]))</f>
        <v>380800</v>
      </c>
      <c r="U295" s="10">
        <f>IF(Tabell2[[#This Row],[NIBR11-T]]&lt;=L$430,100,IF(Tabell2[[#This Row],[NIBR11-T]]&gt;=L$429,0,100*(L$429-Tabell2[[#This Row],[NIBR11-T]])/L$432))</f>
        <v>60</v>
      </c>
      <c r="V295" s="10">
        <f>(M$429-Tabell2[[#This Row],[ReisetidOslo-T]])*100/M$432</f>
        <v>22.449082629022666</v>
      </c>
      <c r="W295" s="10">
        <f>100-(N$429-Tabell2[[#This Row],[Beftettotal-T]])*100/N$432</f>
        <v>0.51215291213333103</v>
      </c>
      <c r="X295" s="10">
        <f>100-(O$429-Tabell2[[#This Row],[Befvekst10-T]])*100/O$432</f>
        <v>7.0340028029885246</v>
      </c>
      <c r="Y295" s="10">
        <f>100-(P$429-Tabell2[[#This Row],[Kvinneandel-T]])*100/P$432</f>
        <v>0</v>
      </c>
      <c r="Z295" s="10">
        <f>(Q$429-Tabell2[[#This Row],[Eldreandel-T]])*100/Q$432</f>
        <v>15.396439488008102</v>
      </c>
      <c r="AA295" s="10">
        <f>100-(R$429-Tabell2[[#This Row],[Sysselsettingsvekst10-T]])*100/R$432</f>
        <v>25.986188584419395</v>
      </c>
      <c r="AB295" s="10">
        <f>100-(S$429-Tabell2[[#This Row],[Yrkesaktivandel-T]])*100/S$432</f>
        <v>88.855505630651152</v>
      </c>
      <c r="AC295" s="10">
        <f>100-(T$429-Tabell2[[#This Row],[Inntekt-T]])*100/T$432</f>
        <v>24.069754526269023</v>
      </c>
      <c r="AD29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30.36389096324767</v>
      </c>
    </row>
    <row r="296" spans="1:30" x14ac:dyDescent="0.25">
      <c r="A296" s="2" t="s">
        <v>882</v>
      </c>
      <c r="B296" s="2">
        <v>294</v>
      </c>
      <c r="C296">
        <f>'Rådata-K'!N295</f>
        <v>10</v>
      </c>
      <c r="D296" s="30">
        <f>'Rådata-K'!M295</f>
        <v>279.3125</v>
      </c>
      <c r="E296" s="32">
        <f>'Rådata-K'!O295</f>
        <v>6.8475433207425151</v>
      </c>
      <c r="F296" s="32">
        <f>'Rådata-K'!P295</f>
        <v>0.15665342601787491</v>
      </c>
      <c r="G296" s="32">
        <f>'Rådata-K'!Q295</f>
        <v>0.12127065893968662</v>
      </c>
      <c r="H296" s="32">
        <f>'Rådata-K'!R295</f>
        <v>0.18051083923588754</v>
      </c>
      <c r="I296" s="32">
        <f>'Rådata-K'!S295</f>
        <v>0.24403855910705219</v>
      </c>
      <c r="J296" s="32">
        <f>'Rådata-K'!T295</f>
        <v>0.85475482912332834</v>
      </c>
      <c r="K296" s="67">
        <f>'Rådata-K'!L295</f>
        <v>391100</v>
      </c>
      <c r="L296" s="18">
        <f>Tabell2[[#This Row],[NIBR11]]</f>
        <v>10</v>
      </c>
      <c r="M296" s="32">
        <f>IF(Tabell2[[#This Row],[ReisetidOslo]]&lt;=D$427,D$427,IF(Tabell2[[#This Row],[ReisetidOslo]]&gt;=D$428,D$428,Tabell2[[#This Row],[ReisetidOslo]]))</f>
        <v>279.3125</v>
      </c>
      <c r="N296" s="32">
        <f>IF(Tabell2[[#This Row],[Beftettotal]]&lt;=E$427,E$427,IF(Tabell2[[#This Row],[Beftettotal]]&gt;=E$428,E$428,Tabell2[[#This Row],[Beftettotal]]))</f>
        <v>6.8475433207425151</v>
      </c>
      <c r="O296" s="32">
        <f>IF(Tabell2[[#This Row],[Befvekst10]]&lt;=F$427,F$427,IF(Tabell2[[#This Row],[Befvekst10]]&gt;=F$428,F$428,Tabell2[[#This Row],[Befvekst10]]))</f>
        <v>0.15665342601787491</v>
      </c>
      <c r="P296" s="32">
        <f>IF(Tabell2[[#This Row],[Kvinneandel]]&lt;=G$427,G$427,IF(Tabell2[[#This Row],[Kvinneandel]]&gt;=G$428,G$428,Tabell2[[#This Row],[Kvinneandel]]))</f>
        <v>0.12127065893968662</v>
      </c>
      <c r="Q296" s="32">
        <f>IF(Tabell2[[#This Row],[Eldreandel]]&lt;=H$427,H$427,IF(Tabell2[[#This Row],[Eldreandel]]&gt;=H$428,H$428,Tabell2[[#This Row],[Eldreandel]]))</f>
        <v>0.18051083923588754</v>
      </c>
      <c r="R296" s="32">
        <f>IF(Tabell2[[#This Row],[Sysselsettingsvekst10]]&lt;=I$427,I$427,IF(Tabell2[[#This Row],[Sysselsettingsvekst10]]&gt;=I$428,I$428,Tabell2[[#This Row],[Sysselsettingsvekst10]]))</f>
        <v>0.17904192152607218</v>
      </c>
      <c r="S296" s="32">
        <f>IF(Tabell2[[#This Row],[Yrkesaktivandel]]&lt;=J$427,J$427,IF(Tabell2[[#This Row],[Yrkesaktivandel]]&gt;=J$428,J$428,Tabell2[[#This Row],[Yrkesaktivandel]]))</f>
        <v>0.85475482912332834</v>
      </c>
      <c r="T296" s="67">
        <f>IF(Tabell2[[#This Row],[Inntekt]]&lt;=K$427,K$427,IF(Tabell2[[#This Row],[Inntekt]]&gt;=K$428,K$428,Tabell2[[#This Row],[Inntekt]]))</f>
        <v>391100</v>
      </c>
      <c r="U296" s="10">
        <f>IF(Tabell2[[#This Row],[NIBR11-T]]&lt;=L$430,100,IF(Tabell2[[#This Row],[NIBR11-T]]&gt;=L$429,0,100*(L$429-Tabell2[[#This Row],[NIBR11-T]])/L$432))</f>
        <v>10</v>
      </c>
      <c r="V296" s="10">
        <f>(M$429-Tabell2[[#This Row],[ReisetidOslo-T]])*100/M$432</f>
        <v>3.1962409836452013</v>
      </c>
      <c r="W296" s="10">
        <f>100-(N$429-Tabell2[[#This Row],[Beftettotal-T]])*100/N$432</f>
        <v>4.1752782869970133</v>
      </c>
      <c r="X296" s="10">
        <f>100-(O$429-Tabell2[[#This Row],[Befvekst10-T]])*100/O$432</f>
        <v>90.971021209152994</v>
      </c>
      <c r="Y296" s="10">
        <f>100-(P$429-Tabell2[[#This Row],[Kvinneandel-T]])*100/P$432</f>
        <v>82.815282139468238</v>
      </c>
      <c r="Z296" s="10">
        <f>(Q$429-Tabell2[[#This Row],[Eldreandel-T]])*100/Q$432</f>
        <v>45.863782651016663</v>
      </c>
      <c r="AA296" s="10">
        <f>100-(R$429-Tabell2[[#This Row],[Sysselsettingsvekst10-T]])*100/R$432</f>
        <v>100</v>
      </c>
      <c r="AB296" s="10">
        <f>100-(S$429-Tabell2[[#This Row],[Yrkesaktivandel-T]])*100/S$432</f>
        <v>44.762183749465464</v>
      </c>
      <c r="AC296" s="10">
        <f>100-(T$429-Tabell2[[#This Row],[Inntekt-T]])*100/T$432</f>
        <v>35.510385427079868</v>
      </c>
      <c r="AD29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45.392566326073599</v>
      </c>
    </row>
    <row r="297" spans="1:30" x14ac:dyDescent="0.25">
      <c r="A297" s="2" t="s">
        <v>883</v>
      </c>
      <c r="B297" s="2">
        <v>295</v>
      </c>
      <c r="C297">
        <f>'Rådata-K'!N296</f>
        <v>10</v>
      </c>
      <c r="D297" s="30">
        <f>'Rådata-K'!M296</f>
        <v>299.125</v>
      </c>
      <c r="E297" s="32">
        <f>'Rådata-K'!O296</f>
        <v>20.467642303387091</v>
      </c>
      <c r="F297" s="32">
        <f>'Rådata-K'!P296</f>
        <v>0.2184106614017769</v>
      </c>
      <c r="G297" s="32">
        <f>'Rådata-K'!Q296</f>
        <v>0.13510228883937614</v>
      </c>
      <c r="H297" s="32">
        <f>'Rådata-K'!R296</f>
        <v>0.1502937006279117</v>
      </c>
      <c r="I297" s="32">
        <f>'Rådata-K'!S296</f>
        <v>0.36059670781893005</v>
      </c>
      <c r="J297" s="32">
        <f>'Rådata-K'!T296</f>
        <v>0.85140562248995988</v>
      </c>
      <c r="K297" s="67">
        <f>'Rådata-K'!L296</f>
        <v>482000</v>
      </c>
      <c r="L297" s="18">
        <f>Tabell2[[#This Row],[NIBR11]]</f>
        <v>10</v>
      </c>
      <c r="M297" s="32">
        <f>IF(Tabell2[[#This Row],[ReisetidOslo]]&lt;=D$427,D$427,IF(Tabell2[[#This Row],[ReisetidOslo]]&gt;=D$428,D$428,Tabell2[[#This Row],[ReisetidOslo]]))</f>
        <v>286.73125000000005</v>
      </c>
      <c r="N297" s="32">
        <f>IF(Tabell2[[#This Row],[Beftettotal]]&lt;=E$427,E$427,IF(Tabell2[[#This Row],[Beftettotal]]&gt;=E$428,E$428,Tabell2[[#This Row],[Beftettotal]]))</f>
        <v>20.467642303387091</v>
      </c>
      <c r="O297" s="32">
        <f>IF(Tabell2[[#This Row],[Befvekst10]]&lt;=F$427,F$427,IF(Tabell2[[#This Row],[Befvekst10]]&gt;=F$428,F$428,Tabell2[[#This Row],[Befvekst10]]))</f>
        <v>0.17761328412400704</v>
      </c>
      <c r="P297" s="32">
        <f>IF(Tabell2[[#This Row],[Kvinneandel]]&lt;=G$427,G$427,IF(Tabell2[[#This Row],[Kvinneandel]]&gt;=G$428,G$428,Tabell2[[#This Row],[Kvinneandel]]))</f>
        <v>0.12777681011054584</v>
      </c>
      <c r="Q297" s="32">
        <f>IF(Tabell2[[#This Row],[Eldreandel]]&lt;=H$427,H$427,IF(Tabell2[[#This Row],[Eldreandel]]&gt;=H$428,H$428,Tabell2[[#This Row],[Eldreandel]]))</f>
        <v>0.1502937006279117</v>
      </c>
      <c r="R297" s="32">
        <f>IF(Tabell2[[#This Row],[Sysselsettingsvekst10]]&lt;=I$427,I$427,IF(Tabell2[[#This Row],[Sysselsettingsvekst10]]&gt;=I$428,I$428,Tabell2[[#This Row],[Sysselsettingsvekst10]]))</f>
        <v>0.17904192152607218</v>
      </c>
      <c r="S297" s="32">
        <f>IF(Tabell2[[#This Row],[Yrkesaktivandel]]&lt;=J$427,J$427,IF(Tabell2[[#This Row],[Yrkesaktivandel]]&gt;=J$428,J$428,Tabell2[[#This Row],[Yrkesaktivandel]]))</f>
        <v>0.85140562248995988</v>
      </c>
      <c r="T297" s="67">
        <f>IF(Tabell2[[#This Row],[Inntekt]]&lt;=K$427,K$427,IF(Tabell2[[#This Row],[Inntekt]]&gt;=K$428,K$428,Tabell2[[#This Row],[Inntekt]]))</f>
        <v>449160</v>
      </c>
      <c r="U297" s="10">
        <f>IF(Tabell2[[#This Row],[NIBR11-T]]&lt;=L$430,100,IF(Tabell2[[#This Row],[NIBR11-T]]&gt;=L$429,0,100*(L$429-Tabell2[[#This Row],[NIBR11-T]])/L$432))</f>
        <v>10</v>
      </c>
      <c r="V297" s="10">
        <f>(M$429-Tabell2[[#This Row],[ReisetidOslo-T]])*100/M$432</f>
        <v>0</v>
      </c>
      <c r="W297" s="10">
        <f>100-(N$429-Tabell2[[#This Row],[Beftettotal-T]])*100/N$432</f>
        <v>14.326417890054387</v>
      </c>
      <c r="X297" s="10">
        <f>100-(O$429-Tabell2[[#This Row],[Befvekst10-T]])*100/O$432</f>
        <v>100</v>
      </c>
      <c r="Y297" s="10">
        <f>100-(P$429-Tabell2[[#This Row],[Kvinneandel-T]])*100/P$432</f>
        <v>100</v>
      </c>
      <c r="Z297" s="10">
        <f>(Q$429-Tabell2[[#This Row],[Eldreandel-T]])*100/Q$432</f>
        <v>78.456359112073912</v>
      </c>
      <c r="AA297" s="10">
        <f>100-(R$429-Tabell2[[#This Row],[Sysselsettingsvekst10-T]])*100/R$432</f>
        <v>100</v>
      </c>
      <c r="AB297" s="10">
        <f>100-(S$429-Tabell2[[#This Row],[Yrkesaktivandel-T]])*100/S$432</f>
        <v>42.164392189013036</v>
      </c>
      <c r="AC297" s="10">
        <f>100-(T$429-Tabell2[[#This Row],[Inntekt-T]])*100/T$432</f>
        <v>100</v>
      </c>
      <c r="AD29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56.571898963510435</v>
      </c>
    </row>
    <row r="298" spans="1:30" x14ac:dyDescent="0.25">
      <c r="A298" s="2" t="s">
        <v>884</v>
      </c>
      <c r="B298" s="2">
        <v>296</v>
      </c>
      <c r="C298">
        <f>'Rådata-K'!N297</f>
        <v>10</v>
      </c>
      <c r="D298" s="30">
        <f>'Rådata-K'!M297</f>
        <v>281.375</v>
      </c>
      <c r="E298" s="32">
        <f>'Rådata-K'!O297</f>
        <v>72.30117518447662</v>
      </c>
      <c r="F298" s="32">
        <f>'Rådata-K'!P297</f>
        <v>3.928501276762919E-2</v>
      </c>
      <c r="G298" s="32">
        <f>'Rådata-K'!Q297</f>
        <v>0.11831411831411831</v>
      </c>
      <c r="H298" s="32">
        <f>'Rådata-K'!R297</f>
        <v>0.16858816858816858</v>
      </c>
      <c r="I298" s="32">
        <f>'Rådata-K'!S297</f>
        <v>9.8878271707519838E-2</v>
      </c>
      <c r="J298" s="32">
        <f>'Rådata-K'!T297</f>
        <v>0.83780290791599354</v>
      </c>
      <c r="K298" s="67">
        <f>'Rådata-K'!L297</f>
        <v>392200</v>
      </c>
      <c r="L298" s="18">
        <f>Tabell2[[#This Row],[NIBR11]]</f>
        <v>10</v>
      </c>
      <c r="M298" s="32">
        <f>IF(Tabell2[[#This Row],[ReisetidOslo]]&lt;=D$427,D$427,IF(Tabell2[[#This Row],[ReisetidOslo]]&gt;=D$428,D$428,Tabell2[[#This Row],[ReisetidOslo]]))</f>
        <v>281.375</v>
      </c>
      <c r="N298" s="32">
        <f>IF(Tabell2[[#This Row],[Beftettotal]]&lt;=E$427,E$427,IF(Tabell2[[#This Row],[Beftettotal]]&gt;=E$428,E$428,Tabell2[[#This Row],[Beftettotal]]))</f>
        <v>72.30117518447662</v>
      </c>
      <c r="O298" s="32">
        <f>IF(Tabell2[[#This Row],[Befvekst10]]&lt;=F$427,F$427,IF(Tabell2[[#This Row],[Befvekst10]]&gt;=F$428,F$428,Tabell2[[#This Row],[Befvekst10]]))</f>
        <v>3.928501276762919E-2</v>
      </c>
      <c r="P298" s="32">
        <f>IF(Tabell2[[#This Row],[Kvinneandel]]&lt;=G$427,G$427,IF(Tabell2[[#This Row],[Kvinneandel]]&gt;=G$428,G$428,Tabell2[[#This Row],[Kvinneandel]]))</f>
        <v>0.11831411831411831</v>
      </c>
      <c r="Q298" s="32">
        <f>IF(Tabell2[[#This Row],[Eldreandel]]&lt;=H$427,H$427,IF(Tabell2[[#This Row],[Eldreandel]]&gt;=H$428,H$428,Tabell2[[#This Row],[Eldreandel]]))</f>
        <v>0.16858816858816858</v>
      </c>
      <c r="R298" s="32">
        <f>IF(Tabell2[[#This Row],[Sysselsettingsvekst10]]&lt;=I$427,I$427,IF(Tabell2[[#This Row],[Sysselsettingsvekst10]]&gt;=I$428,I$428,Tabell2[[#This Row],[Sysselsettingsvekst10]]))</f>
        <v>9.8878271707519838E-2</v>
      </c>
      <c r="S298" s="32">
        <f>IF(Tabell2[[#This Row],[Yrkesaktivandel]]&lt;=J$427,J$427,IF(Tabell2[[#This Row],[Yrkesaktivandel]]&gt;=J$428,J$428,Tabell2[[#This Row],[Yrkesaktivandel]]))</f>
        <v>0.83780290791599354</v>
      </c>
      <c r="T298" s="67">
        <f>IF(Tabell2[[#This Row],[Inntekt]]&lt;=K$427,K$427,IF(Tabell2[[#This Row],[Inntekt]]&gt;=K$428,K$428,Tabell2[[#This Row],[Inntekt]]))</f>
        <v>392200</v>
      </c>
      <c r="U298" s="10">
        <f>IF(Tabell2[[#This Row],[NIBR11-T]]&lt;=L$430,100,IF(Tabell2[[#This Row],[NIBR11-T]]&gt;=L$429,0,100*(L$429-Tabell2[[#This Row],[NIBR11-T]])/L$432))</f>
        <v>10</v>
      </c>
      <c r="V298" s="10">
        <f>(M$429-Tabell2[[#This Row],[ReisetidOslo-T]])*100/M$432</f>
        <v>2.3076482923200876</v>
      </c>
      <c r="W298" s="10">
        <f>100-(N$429-Tabell2[[#This Row],[Beftettotal-T]])*100/N$432</f>
        <v>52.95825375747917</v>
      </c>
      <c r="X298" s="10">
        <f>100-(O$429-Tabell2[[#This Row],[Befvekst10-T]])*100/O$432</f>
        <v>40.411665864958238</v>
      </c>
      <c r="Y298" s="10">
        <f>100-(P$429-Tabell2[[#This Row],[Kvinneandel-T]])*100/P$432</f>
        <v>75.006161945465465</v>
      </c>
      <c r="Z298" s="10">
        <f>(Q$429-Tabell2[[#This Row],[Eldreandel-T]])*100/Q$432</f>
        <v>58.723721500528185</v>
      </c>
      <c r="AA298" s="10">
        <f>100-(R$429-Tabell2[[#This Row],[Sysselsettingsvekst10-T]])*100/R$432</f>
        <v>71.955217191250483</v>
      </c>
      <c r="AB298" s="10">
        <f>100-(S$429-Tabell2[[#This Row],[Yrkesaktivandel-T]])*100/S$432</f>
        <v>31.61353015278425</v>
      </c>
      <c r="AC298" s="10">
        <f>100-(T$429-Tabell2[[#This Row],[Inntekt-T]])*100/T$432</f>
        <v>36.732200377651893</v>
      </c>
      <c r="AD29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36.32551232243992</v>
      </c>
    </row>
    <row r="299" spans="1:30" x14ac:dyDescent="0.25">
      <c r="A299" s="2" t="s">
        <v>885</v>
      </c>
      <c r="B299" s="2">
        <v>297</v>
      </c>
      <c r="C299">
        <f>'Rådata-K'!N298</f>
        <v>5</v>
      </c>
      <c r="D299" s="30">
        <f>'Rådata-K'!M298</f>
        <v>235.53125</v>
      </c>
      <c r="E299" s="32">
        <f>'Rådata-K'!O298</f>
        <v>5.3925430993728138</v>
      </c>
      <c r="F299" s="32">
        <f>'Rådata-K'!P298</f>
        <v>-3.6056338028168988E-2</v>
      </c>
      <c r="G299" s="32">
        <f>'Rådata-K'!Q298</f>
        <v>8.7083576855639971E-2</v>
      </c>
      <c r="H299" s="32">
        <f>'Rådata-K'!R298</f>
        <v>0.22910578609000584</v>
      </c>
      <c r="I299" s="32">
        <f>'Rådata-K'!S298</f>
        <v>-0.19148936170212771</v>
      </c>
      <c r="J299" s="32">
        <f>'Rådata-K'!T298</f>
        <v>0.90140845070422537</v>
      </c>
      <c r="K299" s="67">
        <f>'Rådata-K'!L298</f>
        <v>358500</v>
      </c>
      <c r="L299" s="18">
        <f>Tabell2[[#This Row],[NIBR11]]</f>
        <v>5</v>
      </c>
      <c r="M299" s="32">
        <f>IF(Tabell2[[#This Row],[ReisetidOslo]]&lt;=D$427,D$427,IF(Tabell2[[#This Row],[ReisetidOslo]]&gt;=D$428,D$428,Tabell2[[#This Row],[ReisetidOslo]]))</f>
        <v>235.53125</v>
      </c>
      <c r="N299" s="32">
        <f>IF(Tabell2[[#This Row],[Beftettotal]]&lt;=E$427,E$427,IF(Tabell2[[#This Row],[Beftettotal]]&gt;=E$428,E$428,Tabell2[[#This Row],[Beftettotal]]))</f>
        <v>5.3925430993728138</v>
      </c>
      <c r="O299" s="32">
        <f>IF(Tabell2[[#This Row],[Befvekst10]]&lt;=F$427,F$427,IF(Tabell2[[#This Row],[Befvekst10]]&gt;=F$428,F$428,Tabell2[[#This Row],[Befvekst10]]))</f>
        <v>-3.6056338028168988E-2</v>
      </c>
      <c r="P299" s="32">
        <f>IF(Tabell2[[#This Row],[Kvinneandel]]&lt;=G$427,G$427,IF(Tabell2[[#This Row],[Kvinneandel]]&gt;=G$428,G$428,Tabell2[[#This Row],[Kvinneandel]]))</f>
        <v>8.9916711250255951E-2</v>
      </c>
      <c r="Q299" s="32">
        <f>IF(Tabell2[[#This Row],[Eldreandel]]&lt;=H$427,H$427,IF(Tabell2[[#This Row],[Eldreandel]]&gt;=H$428,H$428,Tabell2[[#This Row],[Eldreandel]]))</f>
        <v>0.22303194152148736</v>
      </c>
      <c r="R299" s="32">
        <f>IF(Tabell2[[#This Row],[Sysselsettingsvekst10]]&lt;=I$427,I$427,IF(Tabell2[[#This Row],[Sysselsettingsvekst10]]&gt;=I$428,I$428,Tabell2[[#This Row],[Sysselsettingsvekst10]]))</f>
        <v>-0.10679965679965678</v>
      </c>
      <c r="S299" s="32">
        <f>IF(Tabell2[[#This Row],[Yrkesaktivandel]]&lt;=J$427,J$427,IF(Tabell2[[#This Row],[Yrkesaktivandel]]&gt;=J$428,J$428,Tabell2[[#This Row],[Yrkesaktivandel]]))</f>
        <v>0.90140845070422537</v>
      </c>
      <c r="T299" s="67">
        <f>IF(Tabell2[[#This Row],[Inntekt]]&lt;=K$427,K$427,IF(Tabell2[[#This Row],[Inntekt]]&gt;=K$428,K$428,Tabell2[[#This Row],[Inntekt]]))</f>
        <v>359130</v>
      </c>
      <c r="U299" s="10">
        <f>IF(Tabell2[[#This Row],[NIBR11-T]]&lt;=L$430,100,IF(Tabell2[[#This Row],[NIBR11-T]]&gt;=L$429,0,100*(L$429-Tabell2[[#This Row],[NIBR11-T]])/L$432))</f>
        <v>60</v>
      </c>
      <c r="V299" s="10">
        <f>(M$429-Tabell2[[#This Row],[ReisetidOslo-T]])*100/M$432</f>
        <v>22.05864038586466</v>
      </c>
      <c r="W299" s="10">
        <f>100-(N$429-Tabell2[[#This Row],[Beftettotal-T]])*100/N$432</f>
        <v>3.0908580938380652</v>
      </c>
      <c r="X299" s="10">
        <f>100-(O$429-Tabell2[[#This Row],[Befvekst10-T]])*100/O$432</f>
        <v>7.9565101590135185</v>
      </c>
      <c r="Y299" s="10">
        <f>100-(P$429-Tabell2[[#This Row],[Kvinneandel-T]])*100/P$432</f>
        <v>0</v>
      </c>
      <c r="Z299" s="10">
        <f>(Q$429-Tabell2[[#This Row],[Eldreandel-T]])*100/Q$432</f>
        <v>0</v>
      </c>
      <c r="AA299" s="10">
        <f>100-(R$429-Tabell2[[#This Row],[Sysselsettingsvekst10-T]])*100/R$432</f>
        <v>0</v>
      </c>
      <c r="AB299" s="10">
        <f>100-(S$429-Tabell2[[#This Row],[Yrkesaktivandel-T]])*100/S$432</f>
        <v>80.948778867217953</v>
      </c>
      <c r="AC299" s="10">
        <f>100-(T$429-Tabell2[[#This Row],[Inntekt-T]])*100/T$432</f>
        <v>0</v>
      </c>
      <c r="AD29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24.201129766494773</v>
      </c>
    </row>
    <row r="300" spans="1:30" x14ac:dyDescent="0.25">
      <c r="A300" s="2" t="s">
        <v>886</v>
      </c>
      <c r="B300" s="2">
        <v>298</v>
      </c>
      <c r="C300">
        <f>'Rådata-K'!N299</f>
        <v>10</v>
      </c>
      <c r="D300" s="30">
        <f>'Rådata-K'!M299</f>
        <v>277.375</v>
      </c>
      <c r="E300" s="32">
        <f>'Rådata-K'!O299</f>
        <v>12.563835330901513</v>
      </c>
      <c r="F300" s="32">
        <f>'Rådata-K'!P299</f>
        <v>5.7224292918219621E-2</v>
      </c>
      <c r="G300" s="32">
        <f>'Rådata-K'!Q299</f>
        <v>0.10908336789713811</v>
      </c>
      <c r="H300" s="32">
        <f>'Rådata-K'!R299</f>
        <v>0.18311903774367483</v>
      </c>
      <c r="I300" s="32">
        <f>'Rådata-K'!S299</f>
        <v>5.885815185403187E-2</v>
      </c>
      <c r="J300" s="32">
        <f>'Rådata-K'!T299</f>
        <v>0.8326327856324035</v>
      </c>
      <c r="K300" s="67">
        <f>'Rådata-K'!L299</f>
        <v>376600</v>
      </c>
      <c r="L300" s="18">
        <f>Tabell2[[#This Row],[NIBR11]]</f>
        <v>10</v>
      </c>
      <c r="M300" s="32">
        <f>IF(Tabell2[[#This Row],[ReisetidOslo]]&lt;=D$427,D$427,IF(Tabell2[[#This Row],[ReisetidOslo]]&gt;=D$428,D$428,Tabell2[[#This Row],[ReisetidOslo]]))</f>
        <v>277.375</v>
      </c>
      <c r="N300" s="32">
        <f>IF(Tabell2[[#This Row],[Beftettotal]]&lt;=E$427,E$427,IF(Tabell2[[#This Row],[Beftettotal]]&gt;=E$428,E$428,Tabell2[[#This Row],[Beftettotal]]))</f>
        <v>12.563835330901513</v>
      </c>
      <c r="O300" s="32">
        <f>IF(Tabell2[[#This Row],[Befvekst10]]&lt;=F$427,F$427,IF(Tabell2[[#This Row],[Befvekst10]]&gt;=F$428,F$428,Tabell2[[#This Row],[Befvekst10]]))</f>
        <v>5.7224292918219621E-2</v>
      </c>
      <c r="P300" s="32">
        <f>IF(Tabell2[[#This Row],[Kvinneandel]]&lt;=G$427,G$427,IF(Tabell2[[#This Row],[Kvinneandel]]&gt;=G$428,G$428,Tabell2[[#This Row],[Kvinneandel]]))</f>
        <v>0.10908336789713811</v>
      </c>
      <c r="Q300" s="32">
        <f>IF(Tabell2[[#This Row],[Eldreandel]]&lt;=H$427,H$427,IF(Tabell2[[#This Row],[Eldreandel]]&gt;=H$428,H$428,Tabell2[[#This Row],[Eldreandel]]))</f>
        <v>0.18311903774367483</v>
      </c>
      <c r="R300" s="32">
        <f>IF(Tabell2[[#This Row],[Sysselsettingsvekst10]]&lt;=I$427,I$427,IF(Tabell2[[#This Row],[Sysselsettingsvekst10]]&gt;=I$428,I$428,Tabell2[[#This Row],[Sysselsettingsvekst10]]))</f>
        <v>5.885815185403187E-2</v>
      </c>
      <c r="S300" s="32">
        <f>IF(Tabell2[[#This Row],[Yrkesaktivandel]]&lt;=J$427,J$427,IF(Tabell2[[#This Row],[Yrkesaktivandel]]&gt;=J$428,J$428,Tabell2[[#This Row],[Yrkesaktivandel]]))</f>
        <v>0.8326327856324035</v>
      </c>
      <c r="T300" s="67">
        <f>IF(Tabell2[[#This Row],[Inntekt]]&lt;=K$427,K$427,IF(Tabell2[[#This Row],[Inntekt]]&gt;=K$428,K$428,Tabell2[[#This Row],[Inntekt]]))</f>
        <v>376600</v>
      </c>
      <c r="U300" s="10">
        <f>IF(Tabell2[[#This Row],[NIBR11-T]]&lt;=L$430,100,IF(Tabell2[[#This Row],[NIBR11-T]]&gt;=L$429,0,100*(L$429-Tabell2[[#This Row],[NIBR11-T]])/L$432))</f>
        <v>10</v>
      </c>
      <c r="V300" s="10">
        <f>(M$429-Tabell2[[#This Row],[ReisetidOslo-T]])*100/M$432</f>
        <v>4.0309795724657622</v>
      </c>
      <c r="W300" s="10">
        <f>100-(N$429-Tabell2[[#This Row],[Beftettotal-T]])*100/N$432</f>
        <v>8.4356642269895303</v>
      </c>
      <c r="X300" s="10">
        <f>100-(O$429-Tabell2[[#This Row],[Befvekst10-T]])*100/O$432</f>
        <v>48.139455775680766</v>
      </c>
      <c r="Y300" s="10">
        <f>100-(P$429-Tabell2[[#This Row],[Kvinneandel-T]])*100/P$432</f>
        <v>50.624951397011237</v>
      </c>
      <c r="Z300" s="10">
        <f>(Q$429-Tabell2[[#This Row],[Eldreandel-T]])*100/Q$432</f>
        <v>43.050547738421905</v>
      </c>
      <c r="AA300" s="10">
        <f>100-(R$429-Tabell2[[#This Row],[Sysselsettingsvekst10-T]])*100/R$432</f>
        <v>57.954412938804289</v>
      </c>
      <c r="AB300" s="10">
        <f>100-(S$429-Tabell2[[#This Row],[Yrkesaktivandel-T]])*100/S$432</f>
        <v>27.603356548980912</v>
      </c>
      <c r="AC300" s="10">
        <f>100-(T$429-Tabell2[[#This Row],[Inntekt-T]])*100/T$432</f>
        <v>19.404642896812177</v>
      </c>
      <c r="AD30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28.054571730313079</v>
      </c>
    </row>
    <row r="301" spans="1:30" x14ac:dyDescent="0.25">
      <c r="A301" s="2" t="s">
        <v>887</v>
      </c>
      <c r="B301" s="2">
        <v>299</v>
      </c>
      <c r="C301">
        <f>'Rådata-K'!N300</f>
        <v>11</v>
      </c>
      <c r="D301" s="30">
        <f>'Rådata-K'!M300</f>
        <v>274.5</v>
      </c>
      <c r="E301" s="32">
        <f>'Rådata-K'!O300</f>
        <v>3.4179707958854464</v>
      </c>
      <c r="F301" s="32">
        <f>'Rådata-K'!P300</f>
        <v>1.5346838551257846E-3</v>
      </c>
      <c r="G301" s="32">
        <f>'Rådata-K'!Q300</f>
        <v>9.1020533251608943E-2</v>
      </c>
      <c r="H301" s="32">
        <f>'Rådata-K'!R300</f>
        <v>0.21299417713760344</v>
      </c>
      <c r="I301" s="32">
        <f>'Rådata-K'!S300</f>
        <v>9.1387245233399028E-2</v>
      </c>
      <c r="J301" s="32">
        <f>'Rådata-K'!T300</f>
        <v>0.91620111731843579</v>
      </c>
      <c r="K301" s="67">
        <f>'Rådata-K'!L300</f>
        <v>379100</v>
      </c>
      <c r="L301" s="18">
        <f>Tabell2[[#This Row],[NIBR11]]</f>
        <v>11</v>
      </c>
      <c r="M301" s="32">
        <f>IF(Tabell2[[#This Row],[ReisetidOslo]]&lt;=D$427,D$427,IF(Tabell2[[#This Row],[ReisetidOslo]]&gt;=D$428,D$428,Tabell2[[#This Row],[ReisetidOslo]]))</f>
        <v>274.5</v>
      </c>
      <c r="N301" s="32">
        <f>IF(Tabell2[[#This Row],[Beftettotal]]&lt;=E$427,E$427,IF(Tabell2[[#This Row],[Beftettotal]]&gt;=E$428,E$428,Tabell2[[#This Row],[Beftettotal]]))</f>
        <v>3.4179707958854464</v>
      </c>
      <c r="O301" s="32">
        <f>IF(Tabell2[[#This Row],[Befvekst10]]&lt;=F$427,F$427,IF(Tabell2[[#This Row],[Befvekst10]]&gt;=F$428,F$428,Tabell2[[#This Row],[Befvekst10]]))</f>
        <v>1.5346838551257846E-3</v>
      </c>
      <c r="P301" s="32">
        <f>IF(Tabell2[[#This Row],[Kvinneandel]]&lt;=G$427,G$427,IF(Tabell2[[#This Row],[Kvinneandel]]&gt;=G$428,G$428,Tabell2[[#This Row],[Kvinneandel]]))</f>
        <v>9.1020533251608943E-2</v>
      </c>
      <c r="Q301" s="32">
        <f>IF(Tabell2[[#This Row],[Eldreandel]]&lt;=H$427,H$427,IF(Tabell2[[#This Row],[Eldreandel]]&gt;=H$428,H$428,Tabell2[[#This Row],[Eldreandel]]))</f>
        <v>0.21299417713760344</v>
      </c>
      <c r="R301" s="32">
        <f>IF(Tabell2[[#This Row],[Sysselsettingsvekst10]]&lt;=I$427,I$427,IF(Tabell2[[#This Row],[Sysselsettingsvekst10]]&gt;=I$428,I$428,Tabell2[[#This Row],[Sysselsettingsvekst10]]))</f>
        <v>9.1387245233399028E-2</v>
      </c>
      <c r="S301" s="32">
        <f>IF(Tabell2[[#This Row],[Yrkesaktivandel]]&lt;=J$427,J$427,IF(Tabell2[[#This Row],[Yrkesaktivandel]]&gt;=J$428,J$428,Tabell2[[#This Row],[Yrkesaktivandel]]))</f>
        <v>0.91620111731843579</v>
      </c>
      <c r="T301" s="67">
        <f>IF(Tabell2[[#This Row],[Inntekt]]&lt;=K$427,K$427,IF(Tabell2[[#This Row],[Inntekt]]&gt;=K$428,K$428,Tabell2[[#This Row],[Inntekt]]))</f>
        <v>379100</v>
      </c>
      <c r="U301" s="10">
        <f>IF(Tabell2[[#This Row],[NIBR11-T]]&lt;=L$430,100,IF(Tabell2[[#This Row],[NIBR11-T]]&gt;=L$429,0,100*(L$429-Tabell2[[#This Row],[NIBR11-T]])/L$432))</f>
        <v>0</v>
      </c>
      <c r="V301" s="10">
        <f>(M$429-Tabell2[[#This Row],[ReisetidOslo-T]])*100/M$432</f>
        <v>5.2696239300704661</v>
      </c>
      <c r="W301" s="10">
        <f>100-(N$429-Tabell2[[#This Row],[Beftettotal-T]])*100/N$432</f>
        <v>1.6191977825163946</v>
      </c>
      <c r="X301" s="10">
        <f>100-(O$429-Tabell2[[#This Row],[Befvekst10-T]])*100/O$432</f>
        <v>24.149775284755705</v>
      </c>
      <c r="Y301" s="10">
        <f>100-(P$429-Tabell2[[#This Row],[Kvinneandel-T]])*100/P$432</f>
        <v>2.9155285764738181</v>
      </c>
      <c r="Z301" s="10">
        <f>(Q$429-Tabell2[[#This Row],[Eldreandel-T]])*100/Q$432</f>
        <v>10.826855825900763</v>
      </c>
      <c r="AA301" s="10">
        <f>100-(R$429-Tabell2[[#This Row],[Sysselsettingsvekst10-T]])*100/R$432</f>
        <v>69.334525506717284</v>
      </c>
      <c r="AB301" s="10">
        <f>100-(S$429-Tabell2[[#This Row],[Yrkesaktivandel-T]])*100/S$432</f>
        <v>92.422619896946529</v>
      </c>
      <c r="AC301" s="10">
        <f>100-(T$429-Tabell2[[#This Row],[Inntekt-T]])*100/T$432</f>
        <v>22.181495057203151</v>
      </c>
      <c r="AD30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24.599820494415251</v>
      </c>
    </row>
    <row r="302" spans="1:30" x14ac:dyDescent="0.25">
      <c r="A302" s="2" t="s">
        <v>888</v>
      </c>
      <c r="B302" s="2">
        <v>300</v>
      </c>
      <c r="C302">
        <f>'Rådata-K'!N301</f>
        <v>11</v>
      </c>
      <c r="D302" s="30">
        <f>'Rådata-K'!M301</f>
        <v>309.25</v>
      </c>
      <c r="E302" s="32">
        <f>'Rådata-K'!O301</f>
        <v>2.5597907324364724</v>
      </c>
      <c r="F302" s="32">
        <f>'Rådata-K'!P301</f>
        <v>-6.893203883495147E-2</v>
      </c>
      <c r="G302" s="32">
        <f>'Rådata-K'!Q301</f>
        <v>9.9061522419186657E-2</v>
      </c>
      <c r="H302" s="32">
        <f>'Rådata-K'!R301</f>
        <v>0.22419186652763295</v>
      </c>
      <c r="I302" s="32">
        <f>'Rådata-K'!S301</f>
        <v>4.2755344418052177E-2</v>
      </c>
      <c r="J302" s="32">
        <f>'Rådata-K'!T301</f>
        <v>0.91825095057034223</v>
      </c>
      <c r="K302" s="67">
        <f>'Rådata-K'!L301</f>
        <v>359700</v>
      </c>
      <c r="L302" s="18">
        <f>Tabell2[[#This Row],[NIBR11]]</f>
        <v>11</v>
      </c>
      <c r="M302" s="32">
        <f>IF(Tabell2[[#This Row],[ReisetidOslo]]&lt;=D$427,D$427,IF(Tabell2[[#This Row],[ReisetidOslo]]&gt;=D$428,D$428,Tabell2[[#This Row],[ReisetidOslo]]))</f>
        <v>286.73125000000005</v>
      </c>
      <c r="N302" s="32">
        <f>IF(Tabell2[[#This Row],[Beftettotal]]&lt;=E$427,E$427,IF(Tabell2[[#This Row],[Beftettotal]]&gt;=E$428,E$428,Tabell2[[#This Row],[Beftettotal]]))</f>
        <v>2.5597907324364724</v>
      </c>
      <c r="O302" s="32">
        <f>IF(Tabell2[[#This Row],[Befvekst10]]&lt;=F$427,F$427,IF(Tabell2[[#This Row],[Befvekst10]]&gt;=F$428,F$428,Tabell2[[#This Row],[Befvekst10]]))</f>
        <v>-5.4526569027269343E-2</v>
      </c>
      <c r="P302" s="32">
        <f>IF(Tabell2[[#This Row],[Kvinneandel]]&lt;=G$427,G$427,IF(Tabell2[[#This Row],[Kvinneandel]]&gt;=G$428,G$428,Tabell2[[#This Row],[Kvinneandel]]))</f>
        <v>9.9061522419186657E-2</v>
      </c>
      <c r="Q302" s="32">
        <f>IF(Tabell2[[#This Row],[Eldreandel]]&lt;=H$427,H$427,IF(Tabell2[[#This Row],[Eldreandel]]&gt;=H$428,H$428,Tabell2[[#This Row],[Eldreandel]]))</f>
        <v>0.22303194152148736</v>
      </c>
      <c r="R302" s="32">
        <f>IF(Tabell2[[#This Row],[Sysselsettingsvekst10]]&lt;=I$427,I$427,IF(Tabell2[[#This Row],[Sysselsettingsvekst10]]&gt;=I$428,I$428,Tabell2[[#This Row],[Sysselsettingsvekst10]]))</f>
        <v>4.2755344418052177E-2</v>
      </c>
      <c r="S302" s="32">
        <f>IF(Tabell2[[#This Row],[Yrkesaktivandel]]&lt;=J$427,J$427,IF(Tabell2[[#This Row],[Yrkesaktivandel]]&gt;=J$428,J$428,Tabell2[[#This Row],[Yrkesaktivandel]]))</f>
        <v>0.91825095057034223</v>
      </c>
      <c r="T302" s="67">
        <f>IF(Tabell2[[#This Row],[Inntekt]]&lt;=K$427,K$427,IF(Tabell2[[#This Row],[Inntekt]]&gt;=K$428,K$428,Tabell2[[#This Row],[Inntekt]]))</f>
        <v>359700</v>
      </c>
      <c r="U302" s="10">
        <f>IF(Tabell2[[#This Row],[NIBR11-T]]&lt;=L$430,100,IF(Tabell2[[#This Row],[NIBR11-T]]&gt;=L$429,0,100*(L$429-Tabell2[[#This Row],[NIBR11-T]])/L$432))</f>
        <v>0</v>
      </c>
      <c r="V302" s="10">
        <f>(M$429-Tabell2[[#This Row],[ReisetidOslo-T]])*100/M$432</f>
        <v>0</v>
      </c>
      <c r="W302" s="10">
        <f>100-(N$429-Tabell2[[#This Row],[Beftettotal-T]])*100/N$432</f>
        <v>0.97959115118928253</v>
      </c>
      <c r="X302" s="10">
        <f>100-(O$429-Tabell2[[#This Row],[Befvekst10-T]])*100/O$432</f>
        <v>0</v>
      </c>
      <c r="Y302" s="10">
        <f>100-(P$429-Tabell2[[#This Row],[Kvinneandel-T]])*100/P$432</f>
        <v>24.154218938192926</v>
      </c>
      <c r="Z302" s="10">
        <f>(Q$429-Tabell2[[#This Row],[Eldreandel-T]])*100/Q$432</f>
        <v>0</v>
      </c>
      <c r="AA302" s="10">
        <f>100-(R$429-Tabell2[[#This Row],[Sysselsettingsvekst10-T]])*100/R$432</f>
        <v>52.320940184315845</v>
      </c>
      <c r="AB302" s="10">
        <f>100-(S$429-Tabell2[[#This Row],[Yrkesaktivandel-T]])*100/S$432</f>
        <v>94.01256047244982</v>
      </c>
      <c r="AC302" s="10">
        <f>100-(T$429-Tabell2[[#This Row],[Inntekt-T]])*100/T$432</f>
        <v>0.63312229256914065</v>
      </c>
      <c r="AD30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16.002332356962057</v>
      </c>
    </row>
    <row r="303" spans="1:30" x14ac:dyDescent="0.25">
      <c r="A303" s="2" t="s">
        <v>889</v>
      </c>
      <c r="B303" s="2">
        <v>301</v>
      </c>
      <c r="C303">
        <f>'Rådata-K'!N302</f>
        <v>11</v>
      </c>
      <c r="D303" s="30">
        <f>'Rådata-K'!M302</f>
        <v>273</v>
      </c>
      <c r="E303" s="32">
        <f>'Rådata-K'!O302</f>
        <v>2.5259569192623585</v>
      </c>
      <c r="F303" s="32">
        <f>'Rådata-K'!P302</f>
        <v>-6.9457659372026637E-2</v>
      </c>
      <c r="G303" s="32">
        <f>'Rådata-K'!Q302</f>
        <v>8.8957055214723926E-2</v>
      </c>
      <c r="H303" s="32">
        <f>'Rådata-K'!R302</f>
        <v>0.254601226993865</v>
      </c>
      <c r="I303" s="32">
        <f>'Rådata-K'!S302</f>
        <v>-0.1629464285714286</v>
      </c>
      <c r="J303" s="32">
        <f>'Rådata-K'!T302</f>
        <v>0.88777555110220441</v>
      </c>
      <c r="K303" s="67">
        <f>'Rådata-K'!L302</f>
        <v>367300</v>
      </c>
      <c r="L303" s="18">
        <f>Tabell2[[#This Row],[NIBR11]]</f>
        <v>11</v>
      </c>
      <c r="M303" s="32">
        <f>IF(Tabell2[[#This Row],[ReisetidOslo]]&lt;=D$427,D$427,IF(Tabell2[[#This Row],[ReisetidOslo]]&gt;=D$428,D$428,Tabell2[[#This Row],[ReisetidOslo]]))</f>
        <v>273</v>
      </c>
      <c r="N303" s="32">
        <f>IF(Tabell2[[#This Row],[Beftettotal]]&lt;=E$427,E$427,IF(Tabell2[[#This Row],[Beftettotal]]&gt;=E$428,E$428,Tabell2[[#This Row],[Beftettotal]]))</f>
        <v>2.5259569192623585</v>
      </c>
      <c r="O303" s="32">
        <f>IF(Tabell2[[#This Row],[Befvekst10]]&lt;=F$427,F$427,IF(Tabell2[[#This Row],[Befvekst10]]&gt;=F$428,F$428,Tabell2[[#This Row],[Befvekst10]]))</f>
        <v>-5.4526569027269343E-2</v>
      </c>
      <c r="P303" s="32">
        <f>IF(Tabell2[[#This Row],[Kvinneandel]]&lt;=G$427,G$427,IF(Tabell2[[#This Row],[Kvinneandel]]&gt;=G$428,G$428,Tabell2[[#This Row],[Kvinneandel]]))</f>
        <v>8.9916711250255951E-2</v>
      </c>
      <c r="Q303" s="32">
        <f>IF(Tabell2[[#This Row],[Eldreandel]]&lt;=H$427,H$427,IF(Tabell2[[#This Row],[Eldreandel]]&gt;=H$428,H$428,Tabell2[[#This Row],[Eldreandel]]))</f>
        <v>0.22303194152148736</v>
      </c>
      <c r="R303" s="32">
        <f>IF(Tabell2[[#This Row],[Sysselsettingsvekst10]]&lt;=I$427,I$427,IF(Tabell2[[#This Row],[Sysselsettingsvekst10]]&gt;=I$428,I$428,Tabell2[[#This Row],[Sysselsettingsvekst10]]))</f>
        <v>-0.10679965679965678</v>
      </c>
      <c r="S303" s="32">
        <f>IF(Tabell2[[#This Row],[Yrkesaktivandel]]&lt;=J$427,J$427,IF(Tabell2[[#This Row],[Yrkesaktivandel]]&gt;=J$428,J$428,Tabell2[[#This Row],[Yrkesaktivandel]]))</f>
        <v>0.88777555110220441</v>
      </c>
      <c r="T303" s="67">
        <f>IF(Tabell2[[#This Row],[Inntekt]]&lt;=K$427,K$427,IF(Tabell2[[#This Row],[Inntekt]]&gt;=K$428,K$428,Tabell2[[#This Row],[Inntekt]]))</f>
        <v>367300</v>
      </c>
      <c r="U303" s="10">
        <f>IF(Tabell2[[#This Row],[NIBR11-T]]&lt;=L$430,100,IF(Tabell2[[#This Row],[NIBR11-T]]&gt;=L$429,0,100*(L$429-Tabell2[[#This Row],[NIBR11-T]])/L$432))</f>
        <v>0</v>
      </c>
      <c r="V303" s="10">
        <f>(M$429-Tabell2[[#This Row],[ReisetidOslo-T]])*100/M$432</f>
        <v>5.9158731601250949</v>
      </c>
      <c r="W303" s="10">
        <f>100-(N$429-Tabell2[[#This Row],[Beftettotal-T]])*100/N$432</f>
        <v>0.95437461192096862</v>
      </c>
      <c r="X303" s="10">
        <f>100-(O$429-Tabell2[[#This Row],[Befvekst10-T]])*100/O$432</f>
        <v>0</v>
      </c>
      <c r="Y303" s="10">
        <f>100-(P$429-Tabell2[[#This Row],[Kvinneandel-T]])*100/P$432</f>
        <v>0</v>
      </c>
      <c r="Z303" s="10">
        <f>(Q$429-Tabell2[[#This Row],[Eldreandel-T]])*100/Q$432</f>
        <v>0</v>
      </c>
      <c r="AA303" s="10">
        <f>100-(R$429-Tabell2[[#This Row],[Sysselsettingsvekst10-T]])*100/R$432</f>
        <v>0</v>
      </c>
      <c r="AB303" s="10">
        <f>100-(S$429-Tabell2[[#This Row],[Yrkesaktivandel-T]])*100/S$432</f>
        <v>70.374503999319984</v>
      </c>
      <c r="AC303" s="10">
        <f>100-(T$429-Tabell2[[#This Row],[Inntekt-T]])*100/T$432</f>
        <v>9.0747528601577301</v>
      </c>
      <c r="AD30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8.6319504631523785</v>
      </c>
    </row>
    <row r="304" spans="1:30" x14ac:dyDescent="0.25">
      <c r="A304" s="2" t="s">
        <v>890</v>
      </c>
      <c r="B304" s="2">
        <v>302</v>
      </c>
      <c r="C304">
        <f>'Rådata-K'!N303</f>
        <v>9</v>
      </c>
      <c r="D304" s="30">
        <f>'Rådata-K'!M303</f>
        <v>273.4375</v>
      </c>
      <c r="E304" s="32">
        <f>'Rådata-K'!O303</f>
        <v>3.0662544907678169</v>
      </c>
      <c r="F304" s="32">
        <f>'Rådata-K'!P303</f>
        <v>6.7677231664369897E-2</v>
      </c>
      <c r="G304" s="32">
        <f>'Rådata-K'!Q303</f>
        <v>0.10655385056647067</v>
      </c>
      <c r="H304" s="32">
        <f>'Rådata-K'!R303</f>
        <v>0.18370859027678188</v>
      </c>
      <c r="I304" s="32">
        <f>'Rådata-K'!S303</f>
        <v>-2.5300442757748565E-3</v>
      </c>
      <c r="J304" s="32">
        <f>'Rådata-K'!T303</f>
        <v>0.8766166580444904</v>
      </c>
      <c r="K304" s="67">
        <f>'Rådata-K'!L303</f>
        <v>380500</v>
      </c>
      <c r="L304" s="18">
        <f>Tabell2[[#This Row],[NIBR11]]</f>
        <v>9</v>
      </c>
      <c r="M304" s="32">
        <f>IF(Tabell2[[#This Row],[ReisetidOslo]]&lt;=D$427,D$427,IF(Tabell2[[#This Row],[ReisetidOslo]]&gt;=D$428,D$428,Tabell2[[#This Row],[ReisetidOslo]]))</f>
        <v>273.4375</v>
      </c>
      <c r="N304" s="32">
        <f>IF(Tabell2[[#This Row],[Beftettotal]]&lt;=E$427,E$427,IF(Tabell2[[#This Row],[Beftettotal]]&gt;=E$428,E$428,Tabell2[[#This Row],[Beftettotal]]))</f>
        <v>3.0662544907678169</v>
      </c>
      <c r="O304" s="32">
        <f>IF(Tabell2[[#This Row],[Befvekst10]]&lt;=F$427,F$427,IF(Tabell2[[#This Row],[Befvekst10]]&gt;=F$428,F$428,Tabell2[[#This Row],[Befvekst10]]))</f>
        <v>6.7677231664369897E-2</v>
      </c>
      <c r="P304" s="32">
        <f>IF(Tabell2[[#This Row],[Kvinneandel]]&lt;=G$427,G$427,IF(Tabell2[[#This Row],[Kvinneandel]]&gt;=G$428,G$428,Tabell2[[#This Row],[Kvinneandel]]))</f>
        <v>0.10655385056647067</v>
      </c>
      <c r="Q304" s="32">
        <f>IF(Tabell2[[#This Row],[Eldreandel]]&lt;=H$427,H$427,IF(Tabell2[[#This Row],[Eldreandel]]&gt;=H$428,H$428,Tabell2[[#This Row],[Eldreandel]]))</f>
        <v>0.18370859027678188</v>
      </c>
      <c r="R304" s="32">
        <f>IF(Tabell2[[#This Row],[Sysselsettingsvekst10]]&lt;=I$427,I$427,IF(Tabell2[[#This Row],[Sysselsettingsvekst10]]&gt;=I$428,I$428,Tabell2[[#This Row],[Sysselsettingsvekst10]]))</f>
        <v>-2.5300442757748565E-3</v>
      </c>
      <c r="S304" s="32">
        <f>IF(Tabell2[[#This Row],[Yrkesaktivandel]]&lt;=J$427,J$427,IF(Tabell2[[#This Row],[Yrkesaktivandel]]&gt;=J$428,J$428,Tabell2[[#This Row],[Yrkesaktivandel]]))</f>
        <v>0.8766166580444904</v>
      </c>
      <c r="T304" s="67">
        <f>IF(Tabell2[[#This Row],[Inntekt]]&lt;=K$427,K$427,IF(Tabell2[[#This Row],[Inntekt]]&gt;=K$428,K$428,Tabell2[[#This Row],[Inntekt]]))</f>
        <v>380500</v>
      </c>
      <c r="U304" s="10">
        <f>IF(Tabell2[[#This Row],[NIBR11-T]]&lt;=L$430,100,IF(Tabell2[[#This Row],[NIBR11-T]]&gt;=L$429,0,100*(L$429-Tabell2[[#This Row],[NIBR11-T]])/L$432))</f>
        <v>20</v>
      </c>
      <c r="V304" s="10">
        <f>(M$429-Tabell2[[#This Row],[ReisetidOslo-T]])*100/M$432</f>
        <v>5.7273838013591618</v>
      </c>
      <c r="W304" s="10">
        <f>100-(N$429-Tabell2[[#This Row],[Beftettotal-T]])*100/N$432</f>
        <v>1.3570615588024566</v>
      </c>
      <c r="X304" s="10">
        <f>100-(O$429-Tabell2[[#This Row],[Befvekst10-T]])*100/O$432</f>
        <v>52.642318426902705</v>
      </c>
      <c r="Y304" s="10">
        <f>100-(P$429-Tabell2[[#This Row],[Kvinneandel-T]])*100/P$432</f>
        <v>43.943729195236784</v>
      </c>
      <c r="Z304" s="10">
        <f>(Q$429-Tabell2[[#This Row],[Eldreandel-T]])*100/Q$432</f>
        <v>42.414649142516147</v>
      </c>
      <c r="AA304" s="10">
        <f>100-(R$429-Tabell2[[#This Row],[Sysselsettingsvekst10-T]])*100/R$432</f>
        <v>36.478112503654792</v>
      </c>
      <c r="AB304" s="10">
        <f>100-(S$429-Tabell2[[#This Row],[Yrkesaktivandel-T]])*100/S$432</f>
        <v>61.719177116676903</v>
      </c>
      <c r="AC304" s="10">
        <f>100-(T$429-Tabell2[[#This Row],[Inntekt-T]])*100/T$432</f>
        <v>23.736532267022099</v>
      </c>
      <c r="AD30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31.74820932701973</v>
      </c>
    </row>
    <row r="305" spans="1:30" x14ac:dyDescent="0.25">
      <c r="A305" s="2" t="s">
        <v>891</v>
      </c>
      <c r="B305" s="2">
        <v>303</v>
      </c>
      <c r="C305">
        <f>'Rådata-K'!N304</f>
        <v>5</v>
      </c>
      <c r="D305" s="30">
        <f>'Rådata-K'!M304</f>
        <v>244</v>
      </c>
      <c r="E305" s="32">
        <f>'Rådata-K'!O304</f>
        <v>2.6962878572106712</v>
      </c>
      <c r="F305" s="32">
        <f>'Rådata-K'!P304</f>
        <v>-2.9981024667931733E-2</v>
      </c>
      <c r="G305" s="32">
        <f>'Rådata-K'!Q304</f>
        <v>9.1940532081377147E-2</v>
      </c>
      <c r="H305" s="32">
        <f>'Rådata-K'!R304</f>
        <v>0.22065727699530516</v>
      </c>
      <c r="I305" s="32">
        <f>'Rådata-K'!S304</f>
        <v>-0.11195928753180662</v>
      </c>
      <c r="J305" s="32">
        <f>'Rådata-K'!T304</f>
        <v>0.90707964601769908</v>
      </c>
      <c r="K305" s="67">
        <f>'Rådata-K'!L304</f>
        <v>360100</v>
      </c>
      <c r="L305" s="18">
        <f>Tabell2[[#This Row],[NIBR11]]</f>
        <v>5</v>
      </c>
      <c r="M305" s="32">
        <f>IF(Tabell2[[#This Row],[ReisetidOslo]]&lt;=D$427,D$427,IF(Tabell2[[#This Row],[ReisetidOslo]]&gt;=D$428,D$428,Tabell2[[#This Row],[ReisetidOslo]]))</f>
        <v>244</v>
      </c>
      <c r="N305" s="32">
        <f>IF(Tabell2[[#This Row],[Beftettotal]]&lt;=E$427,E$427,IF(Tabell2[[#This Row],[Beftettotal]]&gt;=E$428,E$428,Tabell2[[#This Row],[Beftettotal]]))</f>
        <v>2.6962878572106712</v>
      </c>
      <c r="O305" s="32">
        <f>IF(Tabell2[[#This Row],[Befvekst10]]&lt;=F$427,F$427,IF(Tabell2[[#This Row],[Befvekst10]]&gt;=F$428,F$428,Tabell2[[#This Row],[Befvekst10]]))</f>
        <v>-2.9981024667931733E-2</v>
      </c>
      <c r="P305" s="32">
        <f>IF(Tabell2[[#This Row],[Kvinneandel]]&lt;=G$427,G$427,IF(Tabell2[[#This Row],[Kvinneandel]]&gt;=G$428,G$428,Tabell2[[#This Row],[Kvinneandel]]))</f>
        <v>9.1940532081377147E-2</v>
      </c>
      <c r="Q305" s="32">
        <f>IF(Tabell2[[#This Row],[Eldreandel]]&lt;=H$427,H$427,IF(Tabell2[[#This Row],[Eldreandel]]&gt;=H$428,H$428,Tabell2[[#This Row],[Eldreandel]]))</f>
        <v>0.22065727699530516</v>
      </c>
      <c r="R305" s="32">
        <f>IF(Tabell2[[#This Row],[Sysselsettingsvekst10]]&lt;=I$427,I$427,IF(Tabell2[[#This Row],[Sysselsettingsvekst10]]&gt;=I$428,I$428,Tabell2[[#This Row],[Sysselsettingsvekst10]]))</f>
        <v>-0.10679965679965678</v>
      </c>
      <c r="S305" s="32">
        <f>IF(Tabell2[[#This Row],[Yrkesaktivandel]]&lt;=J$427,J$427,IF(Tabell2[[#This Row],[Yrkesaktivandel]]&gt;=J$428,J$428,Tabell2[[#This Row],[Yrkesaktivandel]]))</f>
        <v>0.90707964601769908</v>
      </c>
      <c r="T305" s="67">
        <f>IF(Tabell2[[#This Row],[Inntekt]]&lt;=K$427,K$427,IF(Tabell2[[#This Row],[Inntekt]]&gt;=K$428,K$428,Tabell2[[#This Row],[Inntekt]]))</f>
        <v>360100</v>
      </c>
      <c r="U305" s="10">
        <f>IF(Tabell2[[#This Row],[NIBR11-T]]&lt;=L$430,100,IF(Tabell2[[#This Row],[NIBR11-T]]&gt;=L$429,0,100*(L$429-Tabell2[[#This Row],[NIBR11-T]])/L$432))</f>
        <v>60</v>
      </c>
      <c r="V305" s="10">
        <f>(M$429-Tabell2[[#This Row],[ReisetidOslo-T]])*100/M$432</f>
        <v>18.410024941181238</v>
      </c>
      <c r="W305" s="10">
        <f>100-(N$429-Tabell2[[#This Row],[Beftettotal-T]])*100/N$432</f>
        <v>1.0813232583321479</v>
      </c>
      <c r="X305" s="10">
        <f>100-(O$429-Tabell2[[#This Row],[Befvekst10-T]])*100/O$432</f>
        <v>10.57360208776484</v>
      </c>
      <c r="Y305" s="10">
        <f>100-(P$429-Tabell2[[#This Row],[Kvinneandel-T]])*100/P$432</f>
        <v>5.3455244229272409</v>
      </c>
      <c r="Z305" s="10">
        <f>(Q$429-Tabell2[[#This Row],[Eldreandel-T]])*100/Q$432</f>
        <v>2.5613422946183597</v>
      </c>
      <c r="AA305" s="10">
        <f>100-(R$429-Tabell2[[#This Row],[Sysselsettingsvekst10-T]])*100/R$432</f>
        <v>0</v>
      </c>
      <c r="AB305" s="10">
        <f>100-(S$429-Tabell2[[#This Row],[Yrkesaktivandel-T]])*100/S$432</f>
        <v>85.347606689973716</v>
      </c>
      <c r="AC305" s="10">
        <f>100-(T$429-Tabell2[[#This Row],[Inntekt-T]])*100/T$432</f>
        <v>1.0774186382317055</v>
      </c>
      <c r="AD30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25.101701106202128</v>
      </c>
    </row>
    <row r="306" spans="1:30" x14ac:dyDescent="0.25">
      <c r="A306" s="2" t="s">
        <v>892</v>
      </c>
      <c r="B306" s="2">
        <v>304</v>
      </c>
      <c r="C306">
        <f>'Rådata-K'!N305</f>
        <v>5</v>
      </c>
      <c r="D306" s="30">
        <f>'Rådata-K'!M305</f>
        <v>238.3125</v>
      </c>
      <c r="E306" s="32">
        <f>'Rådata-K'!O305</f>
        <v>6.4564515603091266</v>
      </c>
      <c r="F306" s="32">
        <f>'Rådata-K'!P305</f>
        <v>1.538461538461533E-2</v>
      </c>
      <c r="G306" s="32">
        <f>'Rådata-K'!Q305</f>
        <v>0.1042929292929293</v>
      </c>
      <c r="H306" s="32">
        <f>'Rådata-K'!R305</f>
        <v>0.19924242424242425</v>
      </c>
      <c r="I306" s="32">
        <f>'Rådata-K'!S305</f>
        <v>-3.4505640345056432E-2</v>
      </c>
      <c r="J306" s="32">
        <f>'Rådata-K'!T305</f>
        <v>0.85859051128512209</v>
      </c>
      <c r="K306" s="67">
        <f>'Rådata-K'!L305</f>
        <v>388100</v>
      </c>
      <c r="L306" s="18">
        <f>Tabell2[[#This Row],[NIBR11]]</f>
        <v>5</v>
      </c>
      <c r="M306" s="32">
        <f>IF(Tabell2[[#This Row],[ReisetidOslo]]&lt;=D$427,D$427,IF(Tabell2[[#This Row],[ReisetidOslo]]&gt;=D$428,D$428,Tabell2[[#This Row],[ReisetidOslo]]))</f>
        <v>238.3125</v>
      </c>
      <c r="N306" s="32">
        <f>IF(Tabell2[[#This Row],[Beftettotal]]&lt;=E$427,E$427,IF(Tabell2[[#This Row],[Beftettotal]]&gt;=E$428,E$428,Tabell2[[#This Row],[Beftettotal]]))</f>
        <v>6.4564515603091266</v>
      </c>
      <c r="O306" s="32">
        <f>IF(Tabell2[[#This Row],[Befvekst10]]&lt;=F$427,F$427,IF(Tabell2[[#This Row],[Befvekst10]]&gt;=F$428,F$428,Tabell2[[#This Row],[Befvekst10]]))</f>
        <v>1.538461538461533E-2</v>
      </c>
      <c r="P306" s="32">
        <f>IF(Tabell2[[#This Row],[Kvinneandel]]&lt;=G$427,G$427,IF(Tabell2[[#This Row],[Kvinneandel]]&gt;=G$428,G$428,Tabell2[[#This Row],[Kvinneandel]]))</f>
        <v>0.1042929292929293</v>
      </c>
      <c r="Q306" s="32">
        <f>IF(Tabell2[[#This Row],[Eldreandel]]&lt;=H$427,H$427,IF(Tabell2[[#This Row],[Eldreandel]]&gt;=H$428,H$428,Tabell2[[#This Row],[Eldreandel]]))</f>
        <v>0.19924242424242425</v>
      </c>
      <c r="R306" s="32">
        <f>IF(Tabell2[[#This Row],[Sysselsettingsvekst10]]&lt;=I$427,I$427,IF(Tabell2[[#This Row],[Sysselsettingsvekst10]]&gt;=I$428,I$428,Tabell2[[#This Row],[Sysselsettingsvekst10]]))</f>
        <v>-3.4505640345056432E-2</v>
      </c>
      <c r="S306" s="32">
        <f>IF(Tabell2[[#This Row],[Yrkesaktivandel]]&lt;=J$427,J$427,IF(Tabell2[[#This Row],[Yrkesaktivandel]]&gt;=J$428,J$428,Tabell2[[#This Row],[Yrkesaktivandel]]))</f>
        <v>0.85859051128512209</v>
      </c>
      <c r="T306" s="67">
        <f>IF(Tabell2[[#This Row],[Inntekt]]&lt;=K$427,K$427,IF(Tabell2[[#This Row],[Inntekt]]&gt;=K$428,K$428,Tabell2[[#This Row],[Inntekt]]))</f>
        <v>388100</v>
      </c>
      <c r="U306" s="10">
        <f>IF(Tabell2[[#This Row],[NIBR11-T]]&lt;=L$430,100,IF(Tabell2[[#This Row],[NIBR11-T]]&gt;=L$429,0,100*(L$429-Tabell2[[#This Row],[NIBR11-T]])/L$432))</f>
        <v>60</v>
      </c>
      <c r="V306" s="10">
        <f>(M$429-Tabell2[[#This Row],[ReisetidOslo-T]])*100/M$432</f>
        <v>20.86038660513837</v>
      </c>
      <c r="W306" s="10">
        <f>100-(N$429-Tabell2[[#This Row],[Beftettotal-T]])*100/N$432</f>
        <v>3.8837953056454353</v>
      </c>
      <c r="X306" s="10">
        <f>100-(O$429-Tabell2[[#This Row],[Befvekst10-T]])*100/O$432</f>
        <v>30.115976840187926</v>
      </c>
      <c r="Y306" s="10">
        <f>100-(P$429-Tabell2[[#This Row],[Kvinneandel-T]])*100/P$432</f>
        <v>37.971950616727128</v>
      </c>
      <c r="Z306" s="10">
        <f>(Q$429-Tabell2[[#This Row],[Eldreandel-T]])*100/Q$432</f>
        <v>25.65966523001121</v>
      </c>
      <c r="AA306" s="10">
        <f>100-(R$429-Tabell2[[#This Row],[Sysselsettingsvekst10-T]])*100/R$432</f>
        <v>25.291637723962666</v>
      </c>
      <c r="AB306" s="10">
        <f>100-(S$429-Tabell2[[#This Row],[Yrkesaktivandel-T]])*100/S$432</f>
        <v>47.737307066495362</v>
      </c>
      <c r="AC306" s="10">
        <f>100-(T$429-Tabell2[[#This Row],[Inntekt-T]])*100/T$432</f>
        <v>32.178162834610688</v>
      </c>
      <c r="AD30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34.199905113959758</v>
      </c>
    </row>
    <row r="307" spans="1:30" x14ac:dyDescent="0.25">
      <c r="A307" s="2" t="s">
        <v>893</v>
      </c>
      <c r="B307" s="2">
        <v>305</v>
      </c>
      <c r="C307">
        <f>'Rådata-K'!N306</f>
        <v>5</v>
      </c>
      <c r="D307" s="30">
        <f>'Rådata-K'!M306</f>
        <v>207.5625</v>
      </c>
      <c r="E307" s="32">
        <f>'Rådata-K'!O306</f>
        <v>20.007739938080498</v>
      </c>
      <c r="F307" s="32">
        <f>'Rådata-K'!P306</f>
        <v>9.9796522382537889E-2</v>
      </c>
      <c r="G307" s="32">
        <f>'Rådata-K'!Q306</f>
        <v>0.11563367252543941</v>
      </c>
      <c r="H307" s="32">
        <f>'Rådata-K'!R306</f>
        <v>0.15843915566394753</v>
      </c>
      <c r="I307" s="32">
        <f>'Rådata-K'!S306</f>
        <v>4.1615016823091988E-2</v>
      </c>
      <c r="J307" s="32">
        <f>'Rådata-K'!T306</f>
        <v>0.85612577870068229</v>
      </c>
      <c r="K307" s="67">
        <f>'Rådata-K'!L306</f>
        <v>402300</v>
      </c>
      <c r="L307" s="18">
        <f>Tabell2[[#This Row],[NIBR11]]</f>
        <v>5</v>
      </c>
      <c r="M307" s="32">
        <f>IF(Tabell2[[#This Row],[ReisetidOslo]]&lt;=D$427,D$427,IF(Tabell2[[#This Row],[ReisetidOslo]]&gt;=D$428,D$428,Tabell2[[#This Row],[ReisetidOslo]]))</f>
        <v>207.5625</v>
      </c>
      <c r="N307" s="32">
        <f>IF(Tabell2[[#This Row],[Beftettotal]]&lt;=E$427,E$427,IF(Tabell2[[#This Row],[Beftettotal]]&gt;=E$428,E$428,Tabell2[[#This Row],[Beftettotal]]))</f>
        <v>20.007739938080498</v>
      </c>
      <c r="O307" s="32">
        <f>IF(Tabell2[[#This Row],[Befvekst10]]&lt;=F$427,F$427,IF(Tabell2[[#This Row],[Befvekst10]]&gt;=F$428,F$428,Tabell2[[#This Row],[Befvekst10]]))</f>
        <v>9.9796522382537889E-2</v>
      </c>
      <c r="P307" s="32">
        <f>IF(Tabell2[[#This Row],[Kvinneandel]]&lt;=G$427,G$427,IF(Tabell2[[#This Row],[Kvinneandel]]&gt;=G$428,G$428,Tabell2[[#This Row],[Kvinneandel]]))</f>
        <v>0.11563367252543941</v>
      </c>
      <c r="Q307" s="32">
        <f>IF(Tabell2[[#This Row],[Eldreandel]]&lt;=H$427,H$427,IF(Tabell2[[#This Row],[Eldreandel]]&gt;=H$428,H$428,Tabell2[[#This Row],[Eldreandel]]))</f>
        <v>0.15843915566394753</v>
      </c>
      <c r="R307" s="32">
        <f>IF(Tabell2[[#This Row],[Sysselsettingsvekst10]]&lt;=I$427,I$427,IF(Tabell2[[#This Row],[Sysselsettingsvekst10]]&gt;=I$428,I$428,Tabell2[[#This Row],[Sysselsettingsvekst10]]))</f>
        <v>4.1615016823091988E-2</v>
      </c>
      <c r="S307" s="32">
        <f>IF(Tabell2[[#This Row],[Yrkesaktivandel]]&lt;=J$427,J$427,IF(Tabell2[[#This Row],[Yrkesaktivandel]]&gt;=J$428,J$428,Tabell2[[#This Row],[Yrkesaktivandel]]))</f>
        <v>0.85612577870068229</v>
      </c>
      <c r="T307" s="67">
        <f>IF(Tabell2[[#This Row],[Inntekt]]&lt;=K$427,K$427,IF(Tabell2[[#This Row],[Inntekt]]&gt;=K$428,K$428,Tabell2[[#This Row],[Inntekt]]))</f>
        <v>402300</v>
      </c>
      <c r="U307" s="10">
        <f>IF(Tabell2[[#This Row],[NIBR11-T]]&lt;=L$430,100,IF(Tabell2[[#This Row],[NIBR11-T]]&gt;=L$429,0,100*(L$429-Tabell2[[#This Row],[NIBR11-T]])/L$432))</f>
        <v>60</v>
      </c>
      <c r="V307" s="10">
        <f>(M$429-Tabell2[[#This Row],[ReisetidOslo-T]])*100/M$432</f>
        <v>34.108495821258245</v>
      </c>
      <c r="W307" s="10">
        <f>100-(N$429-Tabell2[[#This Row],[Beftettotal-T]])*100/N$432</f>
        <v>13.983649961572198</v>
      </c>
      <c r="X307" s="10">
        <f>100-(O$429-Tabell2[[#This Row],[Befvekst10-T]])*100/O$432</f>
        <v>66.478499626361426</v>
      </c>
      <c r="Y307" s="10">
        <f>100-(P$429-Tabell2[[#This Row],[Kvinneandel-T]])*100/P$432</f>
        <v>67.926291925658603</v>
      </c>
      <c r="Z307" s="10">
        <f>(Q$429-Tabell2[[#This Row],[Eldreandel-T]])*100/Q$432</f>
        <v>69.670571367034825</v>
      </c>
      <c r="AA307" s="10">
        <f>100-(R$429-Tabell2[[#This Row],[Sysselsettingsvekst10-T]])*100/R$432</f>
        <v>51.92200326210898</v>
      </c>
      <c r="AB307" s="10">
        <f>100-(S$429-Tabell2[[#This Row],[Yrkesaktivandel-T]])*100/S$432</f>
        <v>45.825552371267698</v>
      </c>
      <c r="AC307" s="10">
        <f>100-(T$429-Tabell2[[#This Row],[Inntekt-T]])*100/T$432</f>
        <v>47.950683105631455</v>
      </c>
      <c r="AD30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51.554581542090808</v>
      </c>
    </row>
    <row r="308" spans="1:30" x14ac:dyDescent="0.25">
      <c r="A308" s="2" t="s">
        <v>894</v>
      </c>
      <c r="B308" s="2">
        <v>306</v>
      </c>
      <c r="C308">
        <f>'Rådata-K'!N307</f>
        <v>9</v>
      </c>
      <c r="D308" s="30">
        <f>'Rådata-K'!M307</f>
        <v>159.375</v>
      </c>
      <c r="E308" s="32">
        <f>'Rådata-K'!O307</f>
        <v>2.8740684706050725</v>
      </c>
      <c r="F308" s="32">
        <f>'Rådata-K'!P307</f>
        <v>-8.4641156762476077E-3</v>
      </c>
      <c r="G308" s="32">
        <f>'Rådata-K'!Q307</f>
        <v>0.1074159701227103</v>
      </c>
      <c r="H308" s="32">
        <f>'Rådata-K'!R307</f>
        <v>0.20469500266761514</v>
      </c>
      <c r="I308" s="32">
        <f>'Rådata-K'!S307</f>
        <v>-1.8298261665141813E-2</v>
      </c>
      <c r="J308" s="32">
        <f>'Rådata-K'!T307</f>
        <v>0.91171850455545078</v>
      </c>
      <c r="K308" s="67">
        <f>'Rådata-K'!L307</f>
        <v>383300</v>
      </c>
      <c r="L308" s="18">
        <f>Tabell2[[#This Row],[NIBR11]]</f>
        <v>9</v>
      </c>
      <c r="M308" s="32">
        <f>IF(Tabell2[[#This Row],[ReisetidOslo]]&lt;=D$427,D$427,IF(Tabell2[[#This Row],[ReisetidOslo]]&gt;=D$428,D$428,Tabell2[[#This Row],[ReisetidOslo]]))</f>
        <v>159.375</v>
      </c>
      <c r="N308" s="32">
        <f>IF(Tabell2[[#This Row],[Beftettotal]]&lt;=E$427,E$427,IF(Tabell2[[#This Row],[Beftettotal]]&gt;=E$428,E$428,Tabell2[[#This Row],[Beftettotal]]))</f>
        <v>2.8740684706050725</v>
      </c>
      <c r="O308" s="32">
        <f>IF(Tabell2[[#This Row],[Befvekst10]]&lt;=F$427,F$427,IF(Tabell2[[#This Row],[Befvekst10]]&gt;=F$428,F$428,Tabell2[[#This Row],[Befvekst10]]))</f>
        <v>-8.4641156762476077E-3</v>
      </c>
      <c r="P308" s="32">
        <f>IF(Tabell2[[#This Row],[Kvinneandel]]&lt;=G$427,G$427,IF(Tabell2[[#This Row],[Kvinneandel]]&gt;=G$428,G$428,Tabell2[[#This Row],[Kvinneandel]]))</f>
        <v>0.1074159701227103</v>
      </c>
      <c r="Q308" s="32">
        <f>IF(Tabell2[[#This Row],[Eldreandel]]&lt;=H$427,H$427,IF(Tabell2[[#This Row],[Eldreandel]]&gt;=H$428,H$428,Tabell2[[#This Row],[Eldreandel]]))</f>
        <v>0.20469500266761514</v>
      </c>
      <c r="R308" s="32">
        <f>IF(Tabell2[[#This Row],[Sysselsettingsvekst10]]&lt;=I$427,I$427,IF(Tabell2[[#This Row],[Sysselsettingsvekst10]]&gt;=I$428,I$428,Tabell2[[#This Row],[Sysselsettingsvekst10]]))</f>
        <v>-1.8298261665141813E-2</v>
      </c>
      <c r="S308" s="32">
        <f>IF(Tabell2[[#This Row],[Yrkesaktivandel]]&lt;=J$427,J$427,IF(Tabell2[[#This Row],[Yrkesaktivandel]]&gt;=J$428,J$428,Tabell2[[#This Row],[Yrkesaktivandel]]))</f>
        <v>0.91171850455545078</v>
      </c>
      <c r="T308" s="67">
        <f>IF(Tabell2[[#This Row],[Inntekt]]&lt;=K$427,K$427,IF(Tabell2[[#This Row],[Inntekt]]&gt;=K$428,K$428,Tabell2[[#This Row],[Inntekt]]))</f>
        <v>383300</v>
      </c>
      <c r="U308" s="10">
        <f>IF(Tabell2[[#This Row],[NIBR11-T]]&lt;=L$430,100,IF(Tabell2[[#This Row],[NIBR11-T]]&gt;=L$429,0,100*(L$429-Tabell2[[#This Row],[NIBR11-T]])/L$432))</f>
        <v>20</v>
      </c>
      <c r="V308" s="10">
        <f>(M$429-Tabell2[[#This Row],[ReisetidOslo-T]])*100/M$432</f>
        <v>54.869252336763175</v>
      </c>
      <c r="W308" s="10">
        <f>100-(N$429-Tabell2[[#This Row],[Beftettotal-T]])*100/N$432</f>
        <v>1.2138241915179719</v>
      </c>
      <c r="X308" s="10">
        <f>100-(O$429-Tabell2[[#This Row],[Befvekst10-T]])*100/O$432</f>
        <v>19.842544365273056</v>
      </c>
      <c r="Y308" s="10">
        <f>100-(P$429-Tabell2[[#This Row],[Kvinneandel-T]])*100/P$432</f>
        <v>46.220848331721335</v>
      </c>
      <c r="Z308" s="10">
        <f>(Q$429-Tabell2[[#This Row],[Eldreandel-T]])*100/Q$432</f>
        <v>19.778447238508942</v>
      </c>
      <c r="AA308" s="10">
        <f>100-(R$429-Tabell2[[#This Row],[Sysselsettingsvekst10-T]])*100/R$432</f>
        <v>30.961694114935156</v>
      </c>
      <c r="AB308" s="10">
        <f>100-(S$429-Tabell2[[#This Row],[Yrkesaktivandel-T]])*100/S$432</f>
        <v>88.945708831370695</v>
      </c>
      <c r="AC308" s="10">
        <f>100-(T$429-Tabell2[[#This Row],[Inntekt-T]])*100/T$432</f>
        <v>26.846606686659996</v>
      </c>
      <c r="AD30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31.552182267690824</v>
      </c>
    </row>
    <row r="309" spans="1:30" x14ac:dyDescent="0.25">
      <c r="A309" s="2" t="s">
        <v>895</v>
      </c>
      <c r="B309" s="2">
        <v>307</v>
      </c>
      <c r="C309">
        <f>'Rådata-K'!N308</f>
        <v>9</v>
      </c>
      <c r="D309" s="30">
        <f>'Rådata-K'!M308</f>
        <v>184.09375</v>
      </c>
      <c r="E309" s="32">
        <f>'Rådata-K'!O308</f>
        <v>1.6916081025217031</v>
      </c>
      <c r="F309" s="32">
        <f>'Rådata-K'!P308</f>
        <v>-1.4450867052023142E-2</v>
      </c>
      <c r="G309" s="32">
        <f>'Rådata-K'!Q308</f>
        <v>0.10019550342130987</v>
      </c>
      <c r="H309" s="32">
        <f>'Rådata-K'!R308</f>
        <v>0.22043010752688172</v>
      </c>
      <c r="I309" s="32">
        <f>'Rådata-K'!S308</f>
        <v>-6.8965517241379337E-2</v>
      </c>
      <c r="J309" s="32">
        <f>'Rådata-K'!T308</f>
        <v>0.91189827429609449</v>
      </c>
      <c r="K309" s="67">
        <f>'Rådata-K'!L308</f>
        <v>360700</v>
      </c>
      <c r="L309" s="18">
        <f>Tabell2[[#This Row],[NIBR11]]</f>
        <v>9</v>
      </c>
      <c r="M309" s="32">
        <f>IF(Tabell2[[#This Row],[ReisetidOslo]]&lt;=D$427,D$427,IF(Tabell2[[#This Row],[ReisetidOslo]]&gt;=D$428,D$428,Tabell2[[#This Row],[ReisetidOslo]]))</f>
        <v>184.09375</v>
      </c>
      <c r="N309" s="32">
        <f>IF(Tabell2[[#This Row],[Beftettotal]]&lt;=E$427,E$427,IF(Tabell2[[#This Row],[Beftettotal]]&gt;=E$428,E$428,Tabell2[[#This Row],[Beftettotal]]))</f>
        <v>1.6916081025217031</v>
      </c>
      <c r="O309" s="32">
        <f>IF(Tabell2[[#This Row],[Befvekst10]]&lt;=F$427,F$427,IF(Tabell2[[#This Row],[Befvekst10]]&gt;=F$428,F$428,Tabell2[[#This Row],[Befvekst10]]))</f>
        <v>-1.4450867052023142E-2</v>
      </c>
      <c r="P309" s="32">
        <f>IF(Tabell2[[#This Row],[Kvinneandel]]&lt;=G$427,G$427,IF(Tabell2[[#This Row],[Kvinneandel]]&gt;=G$428,G$428,Tabell2[[#This Row],[Kvinneandel]]))</f>
        <v>0.10019550342130987</v>
      </c>
      <c r="Q309" s="32">
        <f>IF(Tabell2[[#This Row],[Eldreandel]]&lt;=H$427,H$427,IF(Tabell2[[#This Row],[Eldreandel]]&gt;=H$428,H$428,Tabell2[[#This Row],[Eldreandel]]))</f>
        <v>0.22043010752688172</v>
      </c>
      <c r="R309" s="32">
        <f>IF(Tabell2[[#This Row],[Sysselsettingsvekst10]]&lt;=I$427,I$427,IF(Tabell2[[#This Row],[Sysselsettingsvekst10]]&gt;=I$428,I$428,Tabell2[[#This Row],[Sysselsettingsvekst10]]))</f>
        <v>-6.8965517241379337E-2</v>
      </c>
      <c r="S309" s="32">
        <f>IF(Tabell2[[#This Row],[Yrkesaktivandel]]&lt;=J$427,J$427,IF(Tabell2[[#This Row],[Yrkesaktivandel]]&gt;=J$428,J$428,Tabell2[[#This Row],[Yrkesaktivandel]]))</f>
        <v>0.91189827429609449</v>
      </c>
      <c r="T309" s="67">
        <f>IF(Tabell2[[#This Row],[Inntekt]]&lt;=K$427,K$427,IF(Tabell2[[#This Row],[Inntekt]]&gt;=K$428,K$428,Tabell2[[#This Row],[Inntekt]]))</f>
        <v>360700</v>
      </c>
      <c r="U309" s="10">
        <f>IF(Tabell2[[#This Row],[NIBR11-T]]&lt;=L$430,100,IF(Tabell2[[#This Row],[NIBR11-T]]&gt;=L$429,0,100*(L$429-Tabell2[[#This Row],[NIBR11-T]])/L$432))</f>
        <v>20</v>
      </c>
      <c r="V309" s="10">
        <f>(M$429-Tabell2[[#This Row],[ReisetidOslo-T]])*100/M$432</f>
        <v>44.219603566487947</v>
      </c>
      <c r="W309" s="10">
        <f>100-(N$429-Tabell2[[#This Row],[Beftettotal-T]])*100/N$432</f>
        <v>0.33252954844731164</v>
      </c>
      <c r="X309" s="10">
        <f>100-(O$429-Tabell2[[#This Row],[Befvekst10-T]])*100/O$432</f>
        <v>17.263602708118555</v>
      </c>
      <c r="Y309" s="10">
        <f>100-(P$429-Tabell2[[#This Row],[Kvinneandel-T]])*100/P$432</f>
        <v>27.149406579693263</v>
      </c>
      <c r="Z309" s="10">
        <f>(Q$429-Tabell2[[#This Row],[Eldreandel-T]])*100/Q$432</f>
        <v>2.8063700705856824</v>
      </c>
      <c r="AA309" s="10">
        <f>100-(R$429-Tabell2[[#This Row],[Sysselsettingsvekst10-T]])*100/R$432</f>
        <v>13.236051864772378</v>
      </c>
      <c r="AB309" s="10">
        <f>100-(S$429-Tabell2[[#This Row],[Yrkesaktivandel-T]])*100/S$432</f>
        <v>89.08514612688306</v>
      </c>
      <c r="AC309" s="10">
        <f>100-(T$429-Tabell2[[#This Row],[Inntekt-T]])*100/T$432</f>
        <v>1.7438631567255385</v>
      </c>
      <c r="AD30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23.812228800469281</v>
      </c>
    </row>
    <row r="310" spans="1:30" x14ac:dyDescent="0.25">
      <c r="A310" s="2" t="s">
        <v>896</v>
      </c>
      <c r="B310" s="2">
        <v>308</v>
      </c>
      <c r="C310">
        <f>'Rådata-K'!N309</f>
        <v>2</v>
      </c>
      <c r="D310" s="30">
        <f>'Rådata-K'!M309</f>
        <v>217.5625</v>
      </c>
      <c r="E310" s="32">
        <f>'Rådata-K'!O309</f>
        <v>3.3963805623189343</v>
      </c>
      <c r="F310" s="32">
        <f>'Rådata-K'!P309</f>
        <v>7.3017490236033211E-2</v>
      </c>
      <c r="G310" s="32">
        <f>'Rådata-K'!Q309</f>
        <v>0.12232948251305586</v>
      </c>
      <c r="H310" s="32">
        <f>'Rådata-K'!R309</f>
        <v>0.17012185472384872</v>
      </c>
      <c r="I310" s="32">
        <f>'Rådata-K'!S309</f>
        <v>0.11432706222865407</v>
      </c>
      <c r="J310" s="32">
        <f>'Rådata-K'!T309</f>
        <v>0.92024369980614784</v>
      </c>
      <c r="K310" s="67">
        <f>'Rådata-K'!L309</f>
        <v>385000</v>
      </c>
      <c r="L310" s="18">
        <f>Tabell2[[#This Row],[NIBR11]]</f>
        <v>2</v>
      </c>
      <c r="M310" s="32">
        <f>IF(Tabell2[[#This Row],[ReisetidOslo]]&lt;=D$427,D$427,IF(Tabell2[[#This Row],[ReisetidOslo]]&gt;=D$428,D$428,Tabell2[[#This Row],[ReisetidOslo]]))</f>
        <v>217.5625</v>
      </c>
      <c r="N310" s="32">
        <f>IF(Tabell2[[#This Row],[Beftettotal]]&lt;=E$427,E$427,IF(Tabell2[[#This Row],[Beftettotal]]&gt;=E$428,E$428,Tabell2[[#This Row],[Beftettotal]]))</f>
        <v>3.3963805623189343</v>
      </c>
      <c r="O310" s="32">
        <f>IF(Tabell2[[#This Row],[Befvekst10]]&lt;=F$427,F$427,IF(Tabell2[[#This Row],[Befvekst10]]&gt;=F$428,F$428,Tabell2[[#This Row],[Befvekst10]]))</f>
        <v>7.3017490236033211E-2</v>
      </c>
      <c r="P310" s="32">
        <f>IF(Tabell2[[#This Row],[Kvinneandel]]&lt;=G$427,G$427,IF(Tabell2[[#This Row],[Kvinneandel]]&gt;=G$428,G$428,Tabell2[[#This Row],[Kvinneandel]]))</f>
        <v>0.12232948251305586</v>
      </c>
      <c r="Q310" s="32">
        <f>IF(Tabell2[[#This Row],[Eldreandel]]&lt;=H$427,H$427,IF(Tabell2[[#This Row],[Eldreandel]]&gt;=H$428,H$428,Tabell2[[#This Row],[Eldreandel]]))</f>
        <v>0.17012185472384872</v>
      </c>
      <c r="R310" s="32">
        <f>IF(Tabell2[[#This Row],[Sysselsettingsvekst10]]&lt;=I$427,I$427,IF(Tabell2[[#This Row],[Sysselsettingsvekst10]]&gt;=I$428,I$428,Tabell2[[#This Row],[Sysselsettingsvekst10]]))</f>
        <v>0.11432706222865407</v>
      </c>
      <c r="S310" s="32">
        <f>IF(Tabell2[[#This Row],[Yrkesaktivandel]]&lt;=J$427,J$427,IF(Tabell2[[#This Row],[Yrkesaktivandel]]&gt;=J$428,J$428,Tabell2[[#This Row],[Yrkesaktivandel]]))</f>
        <v>0.92024369980614784</v>
      </c>
      <c r="T310" s="67">
        <f>IF(Tabell2[[#This Row],[Inntekt]]&lt;=K$427,K$427,IF(Tabell2[[#This Row],[Inntekt]]&gt;=K$428,K$428,Tabell2[[#This Row],[Inntekt]]))</f>
        <v>385000</v>
      </c>
      <c r="U310" s="10">
        <f>IF(Tabell2[[#This Row],[NIBR11-T]]&lt;=L$430,100,IF(Tabell2[[#This Row],[NIBR11-T]]&gt;=L$429,0,100*(L$429-Tabell2[[#This Row],[NIBR11-T]])/L$432))</f>
        <v>90</v>
      </c>
      <c r="V310" s="10">
        <f>(M$429-Tabell2[[#This Row],[ReisetidOslo-T]])*100/M$432</f>
        <v>29.800167620894062</v>
      </c>
      <c r="W310" s="10">
        <f>100-(N$429-Tabell2[[#This Row],[Beftettotal-T]])*100/N$432</f>
        <v>1.603106454892739</v>
      </c>
      <c r="X310" s="10">
        <f>100-(O$429-Tabell2[[#This Row],[Befvekst10-T]])*100/O$432</f>
        <v>54.942767272359355</v>
      </c>
      <c r="Y310" s="10">
        <f>100-(P$429-Tabell2[[#This Row],[Kvinneandel-T]])*100/P$432</f>
        <v>85.611956224436895</v>
      </c>
      <c r="Z310" s="10">
        <f>(Q$429-Tabell2[[#This Row],[Eldreandel-T]])*100/Q$432</f>
        <v>57.069468816548898</v>
      </c>
      <c r="AA310" s="10">
        <f>100-(R$429-Tabell2[[#This Row],[Sysselsettingsvekst10-T]])*100/R$432</f>
        <v>77.359885963240558</v>
      </c>
      <c r="AB310" s="10">
        <f>100-(S$429-Tabell2[[#This Row],[Yrkesaktivandel-T]])*100/S$432</f>
        <v>95.558224181370448</v>
      </c>
      <c r="AC310" s="10">
        <f>100-(T$429-Tabell2[[#This Row],[Inntekt-T]])*100/T$432</f>
        <v>28.734866155725868</v>
      </c>
      <c r="AD31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59.428249744133531</v>
      </c>
    </row>
    <row r="311" spans="1:30" x14ac:dyDescent="0.25">
      <c r="A311" s="2" t="s">
        <v>897</v>
      </c>
      <c r="B311" s="2">
        <v>309</v>
      </c>
      <c r="C311">
        <f>'Rådata-K'!N310</f>
        <v>2</v>
      </c>
      <c r="D311" s="30">
        <f>'Rådata-K'!M310</f>
        <v>191.8125</v>
      </c>
      <c r="E311" s="32">
        <f>'Rådata-K'!O310</f>
        <v>23.348214285714288</v>
      </c>
      <c r="F311" s="32">
        <f>'Rådata-K'!P310</f>
        <v>0.13345917225950776</v>
      </c>
      <c r="G311" s="32">
        <f>'Rådata-K'!Q310</f>
        <v>0.12089064331092333</v>
      </c>
      <c r="H311" s="32">
        <f>'Rådata-K'!R310</f>
        <v>0.14328008388330352</v>
      </c>
      <c r="I311" s="32">
        <f>'Rådata-K'!S310</f>
        <v>0.14549763033175345</v>
      </c>
      <c r="J311" s="32">
        <f>'Rådata-K'!T310</f>
        <v>0.87787495950761252</v>
      </c>
      <c r="K311" s="67">
        <f>'Rådata-K'!L310</f>
        <v>405200</v>
      </c>
      <c r="L311" s="18">
        <f>Tabell2[[#This Row],[NIBR11]]</f>
        <v>2</v>
      </c>
      <c r="M311" s="32">
        <f>IF(Tabell2[[#This Row],[ReisetidOslo]]&lt;=D$427,D$427,IF(Tabell2[[#This Row],[ReisetidOslo]]&gt;=D$428,D$428,Tabell2[[#This Row],[ReisetidOslo]]))</f>
        <v>191.8125</v>
      </c>
      <c r="N311" s="32">
        <f>IF(Tabell2[[#This Row],[Beftettotal]]&lt;=E$427,E$427,IF(Tabell2[[#This Row],[Beftettotal]]&gt;=E$428,E$428,Tabell2[[#This Row],[Beftettotal]]))</f>
        <v>23.348214285714288</v>
      </c>
      <c r="O311" s="32">
        <f>IF(Tabell2[[#This Row],[Befvekst10]]&lt;=F$427,F$427,IF(Tabell2[[#This Row],[Befvekst10]]&gt;=F$428,F$428,Tabell2[[#This Row],[Befvekst10]]))</f>
        <v>0.13345917225950776</v>
      </c>
      <c r="P311" s="32">
        <f>IF(Tabell2[[#This Row],[Kvinneandel]]&lt;=G$427,G$427,IF(Tabell2[[#This Row],[Kvinneandel]]&gt;=G$428,G$428,Tabell2[[#This Row],[Kvinneandel]]))</f>
        <v>0.12089064331092333</v>
      </c>
      <c r="Q311" s="32">
        <f>IF(Tabell2[[#This Row],[Eldreandel]]&lt;=H$427,H$427,IF(Tabell2[[#This Row],[Eldreandel]]&gt;=H$428,H$428,Tabell2[[#This Row],[Eldreandel]]))</f>
        <v>0.14328008388330352</v>
      </c>
      <c r="R311" s="32">
        <f>IF(Tabell2[[#This Row],[Sysselsettingsvekst10]]&lt;=I$427,I$427,IF(Tabell2[[#This Row],[Sysselsettingsvekst10]]&gt;=I$428,I$428,Tabell2[[#This Row],[Sysselsettingsvekst10]]))</f>
        <v>0.14549763033175345</v>
      </c>
      <c r="S311" s="32">
        <f>IF(Tabell2[[#This Row],[Yrkesaktivandel]]&lt;=J$427,J$427,IF(Tabell2[[#This Row],[Yrkesaktivandel]]&gt;=J$428,J$428,Tabell2[[#This Row],[Yrkesaktivandel]]))</f>
        <v>0.87787495950761252</v>
      </c>
      <c r="T311" s="67">
        <f>IF(Tabell2[[#This Row],[Inntekt]]&lt;=K$427,K$427,IF(Tabell2[[#This Row],[Inntekt]]&gt;=K$428,K$428,Tabell2[[#This Row],[Inntekt]]))</f>
        <v>405200</v>
      </c>
      <c r="U311" s="10">
        <f>IF(Tabell2[[#This Row],[NIBR11-T]]&lt;=L$430,100,IF(Tabell2[[#This Row],[NIBR11-T]]&gt;=L$429,0,100*(L$429-Tabell2[[#This Row],[NIBR11-T]])/L$432))</f>
        <v>90</v>
      </c>
      <c r="V311" s="10">
        <f>(M$429-Tabell2[[#This Row],[ReisetidOslo-T]])*100/M$432</f>
        <v>40.894112736831836</v>
      </c>
      <c r="W311" s="10">
        <f>100-(N$429-Tabell2[[#This Row],[Beftettotal-T]])*100/N$432</f>
        <v>16.473325072338426</v>
      </c>
      <c r="X311" s="10">
        <f>100-(O$429-Tabell2[[#This Row],[Befvekst10-T]])*100/O$432</f>
        <v>80.979521066671055</v>
      </c>
      <c r="Y311" s="10">
        <f>100-(P$429-Tabell2[[#This Row],[Kvinneandel-T]])*100/P$432</f>
        <v>81.811545645895919</v>
      </c>
      <c r="Z311" s="10">
        <f>(Q$429-Tabell2[[#This Row],[Eldreandel-T]])*100/Q$432</f>
        <v>86.021332188540413</v>
      </c>
      <c r="AA311" s="10">
        <f>100-(R$429-Tabell2[[#This Row],[Sysselsettingsvekst10-T]])*100/R$432</f>
        <v>88.264726429654147</v>
      </c>
      <c r="AB311" s="10">
        <f>100-(S$429-Tabell2[[#This Row],[Yrkesaktivandel-T]])*100/S$432</f>
        <v>62.695170920354506</v>
      </c>
      <c r="AC311" s="10">
        <f>100-(T$429-Tabell2[[#This Row],[Inntekt-T]])*100/T$432</f>
        <v>51.171831611684993</v>
      </c>
      <c r="AD31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68.537464782142422</v>
      </c>
    </row>
    <row r="312" spans="1:30" x14ac:dyDescent="0.25">
      <c r="A312" s="2" t="s">
        <v>898</v>
      </c>
      <c r="B312" s="2">
        <v>310</v>
      </c>
      <c r="C312">
        <f>'Rådata-K'!N311</f>
        <v>2</v>
      </c>
      <c r="D312" s="30">
        <f>'Rådata-K'!M311</f>
        <v>198.78125</v>
      </c>
      <c r="E312" s="32">
        <f>'Rådata-K'!O311</f>
        <v>35.680834931537397</v>
      </c>
      <c r="F312" s="32">
        <f>'Rådata-K'!P311</f>
        <v>0.28803735308323941</v>
      </c>
      <c r="G312" s="32">
        <f>'Rådata-K'!Q311</f>
        <v>0.13187499999999999</v>
      </c>
      <c r="H312" s="32">
        <f>'Rådata-K'!R311</f>
        <v>0.122375</v>
      </c>
      <c r="I312" s="32">
        <f>'Rådata-K'!S311</f>
        <v>0.1650264950794853</v>
      </c>
      <c r="J312" s="32">
        <f>'Rådata-K'!T311</f>
        <v>0.8860205644279151</v>
      </c>
      <c r="K312" s="67">
        <f>'Rådata-K'!L311</f>
        <v>413100</v>
      </c>
      <c r="L312" s="18">
        <f>Tabell2[[#This Row],[NIBR11]]</f>
        <v>2</v>
      </c>
      <c r="M312" s="32">
        <f>IF(Tabell2[[#This Row],[ReisetidOslo]]&lt;=D$427,D$427,IF(Tabell2[[#This Row],[ReisetidOslo]]&gt;=D$428,D$428,Tabell2[[#This Row],[ReisetidOslo]]))</f>
        <v>198.78125</v>
      </c>
      <c r="N312" s="32">
        <f>IF(Tabell2[[#This Row],[Beftettotal]]&lt;=E$427,E$427,IF(Tabell2[[#This Row],[Beftettotal]]&gt;=E$428,E$428,Tabell2[[#This Row],[Beftettotal]]))</f>
        <v>35.680834931537397</v>
      </c>
      <c r="O312" s="32">
        <f>IF(Tabell2[[#This Row],[Befvekst10]]&lt;=F$427,F$427,IF(Tabell2[[#This Row],[Befvekst10]]&gt;=F$428,F$428,Tabell2[[#This Row],[Befvekst10]]))</f>
        <v>0.17761328412400704</v>
      </c>
      <c r="P312" s="32">
        <f>IF(Tabell2[[#This Row],[Kvinneandel]]&lt;=G$427,G$427,IF(Tabell2[[#This Row],[Kvinneandel]]&gt;=G$428,G$428,Tabell2[[#This Row],[Kvinneandel]]))</f>
        <v>0.12777681011054584</v>
      </c>
      <c r="Q312" s="32">
        <f>IF(Tabell2[[#This Row],[Eldreandel]]&lt;=H$427,H$427,IF(Tabell2[[#This Row],[Eldreandel]]&gt;=H$428,H$428,Tabell2[[#This Row],[Eldreandel]]))</f>
        <v>0.13032022035982854</v>
      </c>
      <c r="R312" s="32">
        <f>IF(Tabell2[[#This Row],[Sysselsettingsvekst10]]&lt;=I$427,I$427,IF(Tabell2[[#This Row],[Sysselsettingsvekst10]]&gt;=I$428,I$428,Tabell2[[#This Row],[Sysselsettingsvekst10]]))</f>
        <v>0.1650264950794853</v>
      </c>
      <c r="S312" s="32">
        <f>IF(Tabell2[[#This Row],[Yrkesaktivandel]]&lt;=J$427,J$427,IF(Tabell2[[#This Row],[Yrkesaktivandel]]&gt;=J$428,J$428,Tabell2[[#This Row],[Yrkesaktivandel]]))</f>
        <v>0.8860205644279151</v>
      </c>
      <c r="T312" s="67">
        <f>IF(Tabell2[[#This Row],[Inntekt]]&lt;=K$427,K$427,IF(Tabell2[[#This Row],[Inntekt]]&gt;=K$428,K$428,Tabell2[[#This Row],[Inntekt]]))</f>
        <v>413100</v>
      </c>
      <c r="U312" s="10">
        <f>IF(Tabell2[[#This Row],[NIBR11-T]]&lt;=L$430,100,IF(Tabell2[[#This Row],[NIBR11-T]]&gt;=L$429,0,100*(L$429-Tabell2[[#This Row],[NIBR11-T]])/L$432))</f>
        <v>90</v>
      </c>
      <c r="V312" s="10">
        <f>(M$429-Tabell2[[#This Row],[ReisetidOslo-T]])*100/M$432</f>
        <v>37.891746522203043</v>
      </c>
      <c r="W312" s="10">
        <f>100-(N$429-Tabell2[[#This Row],[Beftettotal-T]])*100/N$432</f>
        <v>25.664899524684301</v>
      </c>
      <c r="X312" s="10">
        <f>100-(O$429-Tabell2[[#This Row],[Befvekst10-T]])*100/O$432</f>
        <v>100</v>
      </c>
      <c r="Y312" s="10">
        <f>100-(P$429-Tabell2[[#This Row],[Kvinneandel-T]])*100/P$432</f>
        <v>100</v>
      </c>
      <c r="Z312" s="10">
        <f>(Q$429-Tabell2[[#This Row],[Eldreandel-T]])*100/Q$432</f>
        <v>100</v>
      </c>
      <c r="AA312" s="10">
        <f>100-(R$429-Tabell2[[#This Row],[Sysselsettingsvekst10-T]])*100/R$432</f>
        <v>95.096785244232137</v>
      </c>
      <c r="AB312" s="10">
        <f>100-(S$429-Tabell2[[#This Row],[Yrkesaktivandel-T]])*100/S$432</f>
        <v>69.0132593613354</v>
      </c>
      <c r="AC312" s="10">
        <f>100-(T$429-Tabell2[[#This Row],[Inntekt-T]])*100/T$432</f>
        <v>59.946684438520492</v>
      </c>
      <c r="AD31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76.761337509097544</v>
      </c>
    </row>
    <row r="313" spans="1:30" x14ac:dyDescent="0.25">
      <c r="A313" s="2" t="s">
        <v>899</v>
      </c>
      <c r="B313" s="2">
        <v>311</v>
      </c>
      <c r="C313">
        <f>'Rådata-K'!N312</f>
        <v>2</v>
      </c>
      <c r="D313" s="30">
        <f>'Rådata-K'!M312</f>
        <v>187.6875</v>
      </c>
      <c r="E313" s="32">
        <f>'Rådata-K'!O312</f>
        <v>32.464048078986906</v>
      </c>
      <c r="F313" s="32">
        <f>'Rådata-K'!P312</f>
        <v>0.10522469857508221</v>
      </c>
      <c r="G313" s="32">
        <f>'Rådata-K'!Q312</f>
        <v>0.12644628099173555</v>
      </c>
      <c r="H313" s="32">
        <f>'Rådata-K'!R312</f>
        <v>0.11239669421487604</v>
      </c>
      <c r="I313" s="32">
        <f>'Rådata-K'!S312</f>
        <v>-3.2362459546925182E-3</v>
      </c>
      <c r="J313" s="32">
        <f>'Rådata-K'!T312</f>
        <v>0.87811872669916835</v>
      </c>
      <c r="K313" s="67">
        <f>'Rådata-K'!L312</f>
        <v>420200</v>
      </c>
      <c r="L313" s="18">
        <f>Tabell2[[#This Row],[NIBR11]]</f>
        <v>2</v>
      </c>
      <c r="M313" s="32">
        <f>IF(Tabell2[[#This Row],[ReisetidOslo]]&lt;=D$427,D$427,IF(Tabell2[[#This Row],[ReisetidOslo]]&gt;=D$428,D$428,Tabell2[[#This Row],[ReisetidOslo]]))</f>
        <v>187.6875</v>
      </c>
      <c r="N313" s="32">
        <f>IF(Tabell2[[#This Row],[Beftettotal]]&lt;=E$427,E$427,IF(Tabell2[[#This Row],[Beftettotal]]&gt;=E$428,E$428,Tabell2[[#This Row],[Beftettotal]]))</f>
        <v>32.464048078986906</v>
      </c>
      <c r="O313" s="32">
        <f>IF(Tabell2[[#This Row],[Befvekst10]]&lt;=F$427,F$427,IF(Tabell2[[#This Row],[Befvekst10]]&gt;=F$428,F$428,Tabell2[[#This Row],[Befvekst10]]))</f>
        <v>0.10522469857508221</v>
      </c>
      <c r="P313" s="32">
        <f>IF(Tabell2[[#This Row],[Kvinneandel]]&lt;=G$427,G$427,IF(Tabell2[[#This Row],[Kvinneandel]]&gt;=G$428,G$428,Tabell2[[#This Row],[Kvinneandel]]))</f>
        <v>0.12644628099173555</v>
      </c>
      <c r="Q313" s="32">
        <f>IF(Tabell2[[#This Row],[Eldreandel]]&lt;=H$427,H$427,IF(Tabell2[[#This Row],[Eldreandel]]&gt;=H$428,H$428,Tabell2[[#This Row],[Eldreandel]]))</f>
        <v>0.13032022035982854</v>
      </c>
      <c r="R313" s="32">
        <f>IF(Tabell2[[#This Row],[Sysselsettingsvekst10]]&lt;=I$427,I$427,IF(Tabell2[[#This Row],[Sysselsettingsvekst10]]&gt;=I$428,I$428,Tabell2[[#This Row],[Sysselsettingsvekst10]]))</f>
        <v>-3.2362459546925182E-3</v>
      </c>
      <c r="S313" s="32">
        <f>IF(Tabell2[[#This Row],[Yrkesaktivandel]]&lt;=J$427,J$427,IF(Tabell2[[#This Row],[Yrkesaktivandel]]&gt;=J$428,J$428,Tabell2[[#This Row],[Yrkesaktivandel]]))</f>
        <v>0.87811872669916835</v>
      </c>
      <c r="T313" s="67">
        <f>IF(Tabell2[[#This Row],[Inntekt]]&lt;=K$427,K$427,IF(Tabell2[[#This Row],[Inntekt]]&gt;=K$428,K$428,Tabell2[[#This Row],[Inntekt]]))</f>
        <v>420200</v>
      </c>
      <c r="U313" s="10">
        <f>IF(Tabell2[[#This Row],[NIBR11-T]]&lt;=L$430,100,IF(Tabell2[[#This Row],[NIBR11-T]]&gt;=L$429,0,100*(L$429-Tabell2[[#This Row],[NIBR11-T]])/L$432))</f>
        <v>90</v>
      </c>
      <c r="V313" s="10">
        <f>(M$429-Tabell2[[#This Row],[ReisetidOslo-T]])*100/M$432</f>
        <v>42.671298119482067</v>
      </c>
      <c r="W313" s="10">
        <f>100-(N$429-Tabell2[[#This Row],[Beftettotal-T]])*100/N$432</f>
        <v>23.267409428971405</v>
      </c>
      <c r="X313" s="10">
        <f>100-(O$429-Tabell2[[#This Row],[Befvekst10-T]])*100/O$432</f>
        <v>68.816821167819029</v>
      </c>
      <c r="Y313" s="10">
        <f>100-(P$429-Tabell2[[#This Row],[Kvinneandel-T]])*100/P$432</f>
        <v>96.485669190352183</v>
      </c>
      <c r="Z313" s="10">
        <f>(Q$429-Tabell2[[#This Row],[Eldreandel-T]])*100/Q$432</f>
        <v>100</v>
      </c>
      <c r="AA313" s="10">
        <f>100-(R$429-Tabell2[[#This Row],[Sysselsettingsvekst10-T]])*100/R$432</f>
        <v>36.231051987457626</v>
      </c>
      <c r="AB313" s="10">
        <f>100-(S$429-Tabell2[[#This Row],[Yrkesaktivandel-T]])*100/S$432</f>
        <v>62.88424744571121</v>
      </c>
      <c r="AC313" s="10">
        <f>100-(T$429-Tabell2[[#This Row],[Inntekt-T]])*100/T$432</f>
        <v>67.832944574030876</v>
      </c>
      <c r="AD31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64.876342848646743</v>
      </c>
    </row>
    <row r="314" spans="1:30" x14ac:dyDescent="0.25">
      <c r="A314" s="2" t="s">
        <v>900</v>
      </c>
      <c r="B314" s="2">
        <v>312</v>
      </c>
      <c r="C314">
        <f>'Rådata-K'!N313</f>
        <v>2</v>
      </c>
      <c r="D314" s="30">
        <f>'Rådata-K'!M313</f>
        <v>162.625</v>
      </c>
      <c r="E314" s="32">
        <f>'Rådata-K'!O313</f>
        <v>82.047019710282598</v>
      </c>
      <c r="F314" s="32">
        <f>'Rådata-K'!P313</f>
        <v>0.12157117351079361</v>
      </c>
      <c r="G314" s="32">
        <f>'Rådata-K'!Q313</f>
        <v>0.12026049204052099</v>
      </c>
      <c r="H314" s="32">
        <f>'Rådata-K'!R313</f>
        <v>0.11635311143270623</v>
      </c>
      <c r="I314" s="32">
        <f>'Rådata-K'!S313</f>
        <v>0.2342878393454817</v>
      </c>
      <c r="J314" s="32">
        <f>'Rådata-K'!T313</f>
        <v>0.86104249011857703</v>
      </c>
      <c r="K314" s="67">
        <f>'Rådata-K'!L313</f>
        <v>445900</v>
      </c>
      <c r="L314" s="18">
        <f>Tabell2[[#This Row],[NIBR11]]</f>
        <v>2</v>
      </c>
      <c r="M314" s="32">
        <f>IF(Tabell2[[#This Row],[ReisetidOslo]]&lt;=D$427,D$427,IF(Tabell2[[#This Row],[ReisetidOslo]]&gt;=D$428,D$428,Tabell2[[#This Row],[ReisetidOslo]]))</f>
        <v>162.625</v>
      </c>
      <c r="N314" s="32">
        <f>IF(Tabell2[[#This Row],[Beftettotal]]&lt;=E$427,E$427,IF(Tabell2[[#This Row],[Beftettotal]]&gt;=E$428,E$428,Tabell2[[#This Row],[Beftettotal]]))</f>
        <v>82.047019710282598</v>
      </c>
      <c r="O314" s="32">
        <f>IF(Tabell2[[#This Row],[Befvekst10]]&lt;=F$427,F$427,IF(Tabell2[[#This Row],[Befvekst10]]&gt;=F$428,F$428,Tabell2[[#This Row],[Befvekst10]]))</f>
        <v>0.12157117351079361</v>
      </c>
      <c r="P314" s="32">
        <f>IF(Tabell2[[#This Row],[Kvinneandel]]&lt;=G$427,G$427,IF(Tabell2[[#This Row],[Kvinneandel]]&gt;=G$428,G$428,Tabell2[[#This Row],[Kvinneandel]]))</f>
        <v>0.12026049204052099</v>
      </c>
      <c r="Q314" s="32">
        <f>IF(Tabell2[[#This Row],[Eldreandel]]&lt;=H$427,H$427,IF(Tabell2[[#This Row],[Eldreandel]]&gt;=H$428,H$428,Tabell2[[#This Row],[Eldreandel]]))</f>
        <v>0.13032022035982854</v>
      </c>
      <c r="R314" s="32">
        <f>IF(Tabell2[[#This Row],[Sysselsettingsvekst10]]&lt;=I$427,I$427,IF(Tabell2[[#This Row],[Sysselsettingsvekst10]]&gt;=I$428,I$428,Tabell2[[#This Row],[Sysselsettingsvekst10]]))</f>
        <v>0.17904192152607218</v>
      </c>
      <c r="S314" s="32">
        <f>IF(Tabell2[[#This Row],[Yrkesaktivandel]]&lt;=J$427,J$427,IF(Tabell2[[#This Row],[Yrkesaktivandel]]&gt;=J$428,J$428,Tabell2[[#This Row],[Yrkesaktivandel]]))</f>
        <v>0.86104249011857703</v>
      </c>
      <c r="T314" s="67">
        <f>IF(Tabell2[[#This Row],[Inntekt]]&lt;=K$427,K$427,IF(Tabell2[[#This Row],[Inntekt]]&gt;=K$428,K$428,Tabell2[[#This Row],[Inntekt]]))</f>
        <v>445900</v>
      </c>
      <c r="U314" s="10">
        <f>IF(Tabell2[[#This Row],[NIBR11-T]]&lt;=L$430,100,IF(Tabell2[[#This Row],[NIBR11-T]]&gt;=L$429,0,100*(L$429-Tabell2[[#This Row],[NIBR11-T]])/L$432))</f>
        <v>90</v>
      </c>
      <c r="V314" s="10">
        <f>(M$429-Tabell2[[#This Row],[ReisetidOslo-T]])*100/M$432</f>
        <v>53.469045671644814</v>
      </c>
      <c r="W314" s="10">
        <f>100-(N$429-Tabell2[[#This Row],[Beftettotal-T]])*100/N$432</f>
        <v>60.221888805742218</v>
      </c>
      <c r="X314" s="10">
        <f>100-(O$429-Tabell2[[#This Row],[Befvekst10-T]])*100/O$432</f>
        <v>75.858470722520451</v>
      </c>
      <c r="Y314" s="10">
        <f>100-(P$429-Tabell2[[#This Row],[Kvinneandel-T]])*100/P$432</f>
        <v>80.147125083425351</v>
      </c>
      <c r="Z314" s="10">
        <f>(Q$429-Tabell2[[#This Row],[Eldreandel-T]])*100/Q$432</f>
        <v>100</v>
      </c>
      <c r="AA314" s="10">
        <f>100-(R$429-Tabell2[[#This Row],[Sysselsettingsvekst10-T]])*100/R$432</f>
        <v>100</v>
      </c>
      <c r="AB314" s="10">
        <f>100-(S$429-Tabell2[[#This Row],[Yrkesaktivandel-T]])*100/S$432</f>
        <v>49.639169393081907</v>
      </c>
      <c r="AC314" s="10">
        <f>100-(T$429-Tabell2[[#This Row],[Inntekt-T]])*100/T$432</f>
        <v>96.378984782850168</v>
      </c>
      <c r="AD31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78.149959264007265</v>
      </c>
    </row>
    <row r="315" spans="1:30" x14ac:dyDescent="0.25">
      <c r="A315" s="2" t="s">
        <v>901</v>
      </c>
      <c r="B315" s="2">
        <v>313</v>
      </c>
      <c r="C315">
        <f>'Rådata-K'!N314</f>
        <v>2</v>
      </c>
      <c r="D315" s="30">
        <f>'Rådata-K'!M314</f>
        <v>186.40625</v>
      </c>
      <c r="E315" s="32">
        <f>'Rådata-K'!O314</f>
        <v>3.3186485698552035</v>
      </c>
      <c r="F315" s="32">
        <f>'Rådata-K'!P314</f>
        <v>3.9573820395738313E-2</v>
      </c>
      <c r="G315" s="32">
        <f>'Rådata-K'!Q314</f>
        <v>0.10151293313811616</v>
      </c>
      <c r="H315" s="32">
        <f>'Rådata-K'!R314</f>
        <v>0.19546120058565153</v>
      </c>
      <c r="I315" s="32">
        <f>'Rådata-K'!S314</f>
        <v>-8.7292161520190037E-2</v>
      </c>
      <c r="J315" s="32">
        <f>'Rådata-K'!T314</f>
        <v>0.91066666666666662</v>
      </c>
      <c r="K315" s="67">
        <f>'Rådata-K'!L314</f>
        <v>385300</v>
      </c>
      <c r="L315" s="18">
        <f>Tabell2[[#This Row],[NIBR11]]</f>
        <v>2</v>
      </c>
      <c r="M315" s="32">
        <f>IF(Tabell2[[#This Row],[ReisetidOslo]]&lt;=D$427,D$427,IF(Tabell2[[#This Row],[ReisetidOslo]]&gt;=D$428,D$428,Tabell2[[#This Row],[ReisetidOslo]]))</f>
        <v>186.40625</v>
      </c>
      <c r="N315" s="32">
        <f>IF(Tabell2[[#This Row],[Beftettotal]]&lt;=E$427,E$427,IF(Tabell2[[#This Row],[Beftettotal]]&gt;=E$428,E$428,Tabell2[[#This Row],[Beftettotal]]))</f>
        <v>3.3186485698552035</v>
      </c>
      <c r="O315" s="32">
        <f>IF(Tabell2[[#This Row],[Befvekst10]]&lt;=F$427,F$427,IF(Tabell2[[#This Row],[Befvekst10]]&gt;=F$428,F$428,Tabell2[[#This Row],[Befvekst10]]))</f>
        <v>3.9573820395738313E-2</v>
      </c>
      <c r="P315" s="32">
        <f>IF(Tabell2[[#This Row],[Kvinneandel]]&lt;=G$427,G$427,IF(Tabell2[[#This Row],[Kvinneandel]]&gt;=G$428,G$428,Tabell2[[#This Row],[Kvinneandel]]))</f>
        <v>0.10151293313811616</v>
      </c>
      <c r="Q315" s="32">
        <f>IF(Tabell2[[#This Row],[Eldreandel]]&lt;=H$427,H$427,IF(Tabell2[[#This Row],[Eldreandel]]&gt;=H$428,H$428,Tabell2[[#This Row],[Eldreandel]]))</f>
        <v>0.19546120058565153</v>
      </c>
      <c r="R315" s="32">
        <f>IF(Tabell2[[#This Row],[Sysselsettingsvekst10]]&lt;=I$427,I$427,IF(Tabell2[[#This Row],[Sysselsettingsvekst10]]&gt;=I$428,I$428,Tabell2[[#This Row],[Sysselsettingsvekst10]]))</f>
        <v>-8.7292161520190037E-2</v>
      </c>
      <c r="S315" s="32">
        <f>IF(Tabell2[[#This Row],[Yrkesaktivandel]]&lt;=J$427,J$427,IF(Tabell2[[#This Row],[Yrkesaktivandel]]&gt;=J$428,J$428,Tabell2[[#This Row],[Yrkesaktivandel]]))</f>
        <v>0.91066666666666662</v>
      </c>
      <c r="T315" s="67">
        <f>IF(Tabell2[[#This Row],[Inntekt]]&lt;=K$427,K$427,IF(Tabell2[[#This Row],[Inntekt]]&gt;=K$428,K$428,Tabell2[[#This Row],[Inntekt]]))</f>
        <v>385300</v>
      </c>
      <c r="U315" s="10">
        <f>IF(Tabell2[[#This Row],[NIBR11-T]]&lt;=L$430,100,IF(Tabell2[[#This Row],[NIBR11-T]]&gt;=L$429,0,100*(L$429-Tabell2[[#This Row],[NIBR11-T]])/L$432))</f>
        <v>90</v>
      </c>
      <c r="V315" s="10">
        <f>(M$429-Tabell2[[#This Row],[ReisetidOslo-T]])*100/M$432</f>
        <v>43.223302670153728</v>
      </c>
      <c r="W315" s="10">
        <f>100-(N$429-Tabell2[[#This Row],[Beftettotal-T]])*100/N$432</f>
        <v>1.5451723453001165</v>
      </c>
      <c r="X315" s="10">
        <f>100-(O$429-Tabell2[[#This Row],[Befvekst10-T]])*100/O$432</f>
        <v>40.536076914671838</v>
      </c>
      <c r="Y315" s="10">
        <f>100-(P$429-Tabell2[[#This Row],[Kvinneandel-T]])*100/P$432</f>
        <v>30.629137897003929</v>
      </c>
      <c r="Z315" s="10">
        <f>(Q$429-Tabell2[[#This Row],[Eldreandel-T]])*100/Q$432</f>
        <v>29.73813946109523</v>
      </c>
      <c r="AA315" s="10">
        <f>100-(R$429-Tabell2[[#This Row],[Sysselsettingsvekst10-T]])*100/R$432</f>
        <v>6.824582831416194</v>
      </c>
      <c r="AB315" s="10">
        <f>100-(S$429-Tabell2[[#This Row],[Yrkesaktivandel-T]])*100/S$432</f>
        <v>88.129857231405538</v>
      </c>
      <c r="AC315" s="10">
        <f>100-(T$429-Tabell2[[#This Row],[Inntekt-T]])*100/T$432</f>
        <v>29.068088414972792</v>
      </c>
      <c r="AD31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46.004679600164174</v>
      </c>
    </row>
    <row r="316" spans="1:30" x14ac:dyDescent="0.25">
      <c r="A316" s="2" t="s">
        <v>902</v>
      </c>
      <c r="B316" s="2">
        <v>314</v>
      </c>
      <c r="C316">
        <f>'Rådata-K'!N315</f>
        <v>11</v>
      </c>
      <c r="D316" s="30">
        <f>'Rådata-K'!M315</f>
        <v>208.375</v>
      </c>
      <c r="E316" s="32">
        <f>'Rådata-K'!O315</f>
        <v>0.6477531766989415</v>
      </c>
      <c r="F316" s="32">
        <f>'Rådata-K'!P315</f>
        <v>2.3282887077997749E-3</v>
      </c>
      <c r="G316" s="32">
        <f>'Rådata-K'!Q315</f>
        <v>0.10569105691056911</v>
      </c>
      <c r="H316" s="32">
        <f>'Rådata-K'!R315</f>
        <v>0.22067363530778164</v>
      </c>
      <c r="I316" s="32">
        <f>'Rådata-K'!S315</f>
        <v>-4.1775456919060039E-2</v>
      </c>
      <c r="J316" s="32">
        <f>'Rådata-K'!T315</f>
        <v>0.90258449304174948</v>
      </c>
      <c r="K316" s="67">
        <f>'Rådata-K'!L315</f>
        <v>383000</v>
      </c>
      <c r="L316" s="18">
        <f>Tabell2[[#This Row],[NIBR11]]</f>
        <v>11</v>
      </c>
      <c r="M316" s="32">
        <f>IF(Tabell2[[#This Row],[ReisetidOslo]]&lt;=D$427,D$427,IF(Tabell2[[#This Row],[ReisetidOslo]]&gt;=D$428,D$428,Tabell2[[#This Row],[ReisetidOslo]]))</f>
        <v>208.375</v>
      </c>
      <c r="N316" s="32">
        <f>IF(Tabell2[[#This Row],[Beftettotal]]&lt;=E$427,E$427,IF(Tabell2[[#This Row],[Beftettotal]]&gt;=E$428,E$428,Tabell2[[#This Row],[Beftettotal]]))</f>
        <v>1.2454428893921135</v>
      </c>
      <c r="O316" s="32">
        <f>IF(Tabell2[[#This Row],[Befvekst10]]&lt;=F$427,F$427,IF(Tabell2[[#This Row],[Befvekst10]]&gt;=F$428,F$428,Tabell2[[#This Row],[Befvekst10]]))</f>
        <v>2.3282887077997749E-3</v>
      </c>
      <c r="P316" s="32">
        <f>IF(Tabell2[[#This Row],[Kvinneandel]]&lt;=G$427,G$427,IF(Tabell2[[#This Row],[Kvinneandel]]&gt;=G$428,G$428,Tabell2[[#This Row],[Kvinneandel]]))</f>
        <v>0.10569105691056911</v>
      </c>
      <c r="Q316" s="32">
        <f>IF(Tabell2[[#This Row],[Eldreandel]]&lt;=H$427,H$427,IF(Tabell2[[#This Row],[Eldreandel]]&gt;=H$428,H$428,Tabell2[[#This Row],[Eldreandel]]))</f>
        <v>0.22067363530778164</v>
      </c>
      <c r="R316" s="32">
        <f>IF(Tabell2[[#This Row],[Sysselsettingsvekst10]]&lt;=I$427,I$427,IF(Tabell2[[#This Row],[Sysselsettingsvekst10]]&gt;=I$428,I$428,Tabell2[[#This Row],[Sysselsettingsvekst10]]))</f>
        <v>-4.1775456919060039E-2</v>
      </c>
      <c r="S316" s="32">
        <f>IF(Tabell2[[#This Row],[Yrkesaktivandel]]&lt;=J$427,J$427,IF(Tabell2[[#This Row],[Yrkesaktivandel]]&gt;=J$428,J$428,Tabell2[[#This Row],[Yrkesaktivandel]]))</f>
        <v>0.90258449304174948</v>
      </c>
      <c r="T316" s="67">
        <f>IF(Tabell2[[#This Row],[Inntekt]]&lt;=K$427,K$427,IF(Tabell2[[#This Row],[Inntekt]]&gt;=K$428,K$428,Tabell2[[#This Row],[Inntekt]]))</f>
        <v>383000</v>
      </c>
      <c r="U316" s="10">
        <f>IF(Tabell2[[#This Row],[NIBR11-T]]&lt;=L$430,100,IF(Tabell2[[#This Row],[NIBR11-T]]&gt;=L$429,0,100*(L$429-Tabell2[[#This Row],[NIBR11-T]])/L$432))</f>
        <v>0</v>
      </c>
      <c r="V316" s="10">
        <f>(M$429-Tabell2[[#This Row],[ReisetidOslo-T]])*100/M$432</f>
        <v>33.758444154978655</v>
      </c>
      <c r="W316" s="10">
        <f>100-(N$429-Tabell2[[#This Row],[Beftettotal-T]])*100/N$432</f>
        <v>0</v>
      </c>
      <c r="X316" s="10">
        <f>100-(O$429-Tabell2[[#This Row],[Befvekst10-T]])*100/O$432</f>
        <v>24.491640260502393</v>
      </c>
      <c r="Y316" s="10">
        <f>100-(P$429-Tabell2[[#This Row],[Kvinneandel-T]])*100/P$432</f>
        <v>41.664829557162911</v>
      </c>
      <c r="Z316" s="10">
        <f>(Q$429-Tabell2[[#This Row],[Eldreandel-T]])*100/Q$432</f>
        <v>2.5436980180678685</v>
      </c>
      <c r="AA316" s="10">
        <f>100-(R$429-Tabell2[[#This Row],[Sysselsettingsvekst10-T]])*100/R$432</f>
        <v>22.748335025808899</v>
      </c>
      <c r="AB316" s="10">
        <f>100-(S$429-Tabell2[[#This Row],[Yrkesaktivandel-T]])*100/S$432</f>
        <v>81.860968885211022</v>
      </c>
      <c r="AC316" s="10">
        <f>100-(T$429-Tabell2[[#This Row],[Inntekt-T]])*100/T$432</f>
        <v>26.513384427413087</v>
      </c>
      <c r="AD31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23.596867680203186</v>
      </c>
    </row>
    <row r="317" spans="1:30" x14ac:dyDescent="0.25">
      <c r="A317" s="2" t="s">
        <v>903</v>
      </c>
      <c r="B317" s="2">
        <v>315</v>
      </c>
      <c r="C317">
        <f>'Rådata-K'!N316</f>
        <v>5</v>
      </c>
      <c r="D317" s="30">
        <f>'Rådata-K'!M316</f>
        <v>197.71875</v>
      </c>
      <c r="E317" s="32">
        <f>'Rådata-K'!O316</f>
        <v>1.9694994581520628</v>
      </c>
      <c r="F317" s="32">
        <f>'Rådata-K'!P316</f>
        <v>3.9888312724367658E-4</v>
      </c>
      <c r="G317" s="32">
        <f>'Rådata-K'!Q316</f>
        <v>0.10685805422647528</v>
      </c>
      <c r="H317" s="32">
        <f>'Rådata-K'!R316</f>
        <v>0.20015948963317384</v>
      </c>
      <c r="I317" s="32">
        <f>'Rådata-K'!S316</f>
        <v>9.3071354705274167E-3</v>
      </c>
      <c r="J317" s="32">
        <f>'Rådata-K'!T316</f>
        <v>0.81561822125813443</v>
      </c>
      <c r="K317" s="67">
        <f>'Rådata-K'!L316</f>
        <v>333100</v>
      </c>
      <c r="L317" s="18">
        <f>Tabell2[[#This Row],[NIBR11]]</f>
        <v>5</v>
      </c>
      <c r="M317" s="32">
        <f>IF(Tabell2[[#This Row],[ReisetidOslo]]&lt;=D$427,D$427,IF(Tabell2[[#This Row],[ReisetidOslo]]&gt;=D$428,D$428,Tabell2[[#This Row],[ReisetidOslo]]))</f>
        <v>197.71875</v>
      </c>
      <c r="N317" s="32">
        <f>IF(Tabell2[[#This Row],[Beftettotal]]&lt;=E$427,E$427,IF(Tabell2[[#This Row],[Beftettotal]]&gt;=E$428,E$428,Tabell2[[#This Row],[Beftettotal]]))</f>
        <v>1.9694994581520628</v>
      </c>
      <c r="O317" s="32">
        <f>IF(Tabell2[[#This Row],[Befvekst10]]&lt;=F$427,F$427,IF(Tabell2[[#This Row],[Befvekst10]]&gt;=F$428,F$428,Tabell2[[#This Row],[Befvekst10]]))</f>
        <v>3.9888312724367658E-4</v>
      </c>
      <c r="P317" s="32">
        <f>IF(Tabell2[[#This Row],[Kvinneandel]]&lt;=G$427,G$427,IF(Tabell2[[#This Row],[Kvinneandel]]&gt;=G$428,G$428,Tabell2[[#This Row],[Kvinneandel]]))</f>
        <v>0.10685805422647528</v>
      </c>
      <c r="Q317" s="32">
        <f>IF(Tabell2[[#This Row],[Eldreandel]]&lt;=H$427,H$427,IF(Tabell2[[#This Row],[Eldreandel]]&gt;=H$428,H$428,Tabell2[[#This Row],[Eldreandel]]))</f>
        <v>0.20015948963317384</v>
      </c>
      <c r="R317" s="32">
        <f>IF(Tabell2[[#This Row],[Sysselsettingsvekst10]]&lt;=I$427,I$427,IF(Tabell2[[#This Row],[Sysselsettingsvekst10]]&gt;=I$428,I$428,Tabell2[[#This Row],[Sysselsettingsvekst10]]))</f>
        <v>9.3071354705274167E-3</v>
      </c>
      <c r="S317" s="32">
        <f>IF(Tabell2[[#This Row],[Yrkesaktivandel]]&lt;=J$427,J$427,IF(Tabell2[[#This Row],[Yrkesaktivandel]]&gt;=J$428,J$428,Tabell2[[#This Row],[Yrkesaktivandel]]))</f>
        <v>0.81561822125813443</v>
      </c>
      <c r="T317" s="67">
        <f>IF(Tabell2[[#This Row],[Inntekt]]&lt;=K$427,K$427,IF(Tabell2[[#This Row],[Inntekt]]&gt;=K$428,K$428,Tabell2[[#This Row],[Inntekt]]))</f>
        <v>359130</v>
      </c>
      <c r="U317" s="10">
        <f>IF(Tabell2[[#This Row],[NIBR11-T]]&lt;=L$430,100,IF(Tabell2[[#This Row],[NIBR11-T]]&gt;=L$429,0,100*(L$429-Tabell2[[#This Row],[NIBR11-T]])/L$432))</f>
        <v>60</v>
      </c>
      <c r="V317" s="10">
        <f>(M$429-Tabell2[[#This Row],[ReisetidOslo-T]])*100/M$432</f>
        <v>38.349506393491744</v>
      </c>
      <c r="W317" s="10">
        <f>100-(N$429-Tabell2[[#This Row],[Beftettotal-T]])*100/N$432</f>
        <v>0.53964360459926297</v>
      </c>
      <c r="X317" s="10">
        <f>100-(O$429-Tabell2[[#This Row],[Befvekst10-T]])*100/O$432</f>
        <v>23.660500947556073</v>
      </c>
      <c r="Y317" s="10">
        <f>100-(P$429-Tabell2[[#This Row],[Kvinneandel-T]])*100/P$432</f>
        <v>44.747223293673166</v>
      </c>
      <c r="Z317" s="10">
        <f>(Q$429-Tabell2[[#This Row],[Eldreandel-T]])*100/Q$432</f>
        <v>24.670507247332267</v>
      </c>
      <c r="AA317" s="10">
        <f>100-(R$429-Tabell2[[#This Row],[Sysselsettingsvekst10-T]])*100/R$432</f>
        <v>40.619280424583806</v>
      </c>
      <c r="AB317" s="10">
        <f>100-(S$429-Tabell2[[#This Row],[Yrkesaktivandel-T]])*100/S$432</f>
        <v>14.406114164507215</v>
      </c>
      <c r="AC317" s="10">
        <f>100-(T$429-Tabell2[[#This Row],[Inntekt-T]])*100/T$432</f>
        <v>0</v>
      </c>
      <c r="AD31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29.594441175279687</v>
      </c>
    </row>
    <row r="318" spans="1:30" x14ac:dyDescent="0.25">
      <c r="A318" s="2" t="s">
        <v>904</v>
      </c>
      <c r="B318" s="2">
        <v>316</v>
      </c>
      <c r="C318">
        <f>'Rådata-K'!N317</f>
        <v>2</v>
      </c>
      <c r="D318" s="30">
        <f>'Rådata-K'!M317</f>
        <v>157.78125</v>
      </c>
      <c r="E318" s="32">
        <f>'Rådata-K'!O317</f>
        <v>25.17905102954342</v>
      </c>
      <c r="F318" s="32">
        <f>'Rådata-K'!P317</f>
        <v>0.16534306713362601</v>
      </c>
      <c r="G318" s="32">
        <f>'Rådata-K'!Q317</f>
        <v>0.11517460317460318</v>
      </c>
      <c r="H318" s="32">
        <f>'Rådata-K'!R317</f>
        <v>0.15153439153439152</v>
      </c>
      <c r="I318" s="32">
        <f>'Rådata-K'!S317</f>
        <v>0.135235468816292</v>
      </c>
      <c r="J318" s="32">
        <f>'Rådata-K'!T317</f>
        <v>0.86659167604049492</v>
      </c>
      <c r="K318" s="67">
        <f>'Rådata-K'!L317</f>
        <v>405400</v>
      </c>
      <c r="L318" s="18">
        <f>Tabell2[[#This Row],[NIBR11]]</f>
        <v>2</v>
      </c>
      <c r="M318" s="32">
        <f>IF(Tabell2[[#This Row],[ReisetidOslo]]&lt;=D$427,D$427,IF(Tabell2[[#This Row],[ReisetidOslo]]&gt;=D$428,D$428,Tabell2[[#This Row],[ReisetidOslo]]))</f>
        <v>157.78125</v>
      </c>
      <c r="N318" s="32">
        <f>IF(Tabell2[[#This Row],[Beftettotal]]&lt;=E$427,E$427,IF(Tabell2[[#This Row],[Beftettotal]]&gt;=E$428,E$428,Tabell2[[#This Row],[Beftettotal]]))</f>
        <v>25.17905102954342</v>
      </c>
      <c r="O318" s="32">
        <f>IF(Tabell2[[#This Row],[Befvekst10]]&lt;=F$427,F$427,IF(Tabell2[[#This Row],[Befvekst10]]&gt;=F$428,F$428,Tabell2[[#This Row],[Befvekst10]]))</f>
        <v>0.16534306713362601</v>
      </c>
      <c r="P318" s="32">
        <f>IF(Tabell2[[#This Row],[Kvinneandel]]&lt;=G$427,G$427,IF(Tabell2[[#This Row],[Kvinneandel]]&gt;=G$428,G$428,Tabell2[[#This Row],[Kvinneandel]]))</f>
        <v>0.11517460317460318</v>
      </c>
      <c r="Q318" s="32">
        <f>IF(Tabell2[[#This Row],[Eldreandel]]&lt;=H$427,H$427,IF(Tabell2[[#This Row],[Eldreandel]]&gt;=H$428,H$428,Tabell2[[#This Row],[Eldreandel]]))</f>
        <v>0.15153439153439152</v>
      </c>
      <c r="R318" s="32">
        <f>IF(Tabell2[[#This Row],[Sysselsettingsvekst10]]&lt;=I$427,I$427,IF(Tabell2[[#This Row],[Sysselsettingsvekst10]]&gt;=I$428,I$428,Tabell2[[#This Row],[Sysselsettingsvekst10]]))</f>
        <v>0.135235468816292</v>
      </c>
      <c r="S318" s="32">
        <f>IF(Tabell2[[#This Row],[Yrkesaktivandel]]&lt;=J$427,J$427,IF(Tabell2[[#This Row],[Yrkesaktivandel]]&gt;=J$428,J$428,Tabell2[[#This Row],[Yrkesaktivandel]]))</f>
        <v>0.86659167604049492</v>
      </c>
      <c r="T318" s="67">
        <f>IF(Tabell2[[#This Row],[Inntekt]]&lt;=K$427,K$427,IF(Tabell2[[#This Row],[Inntekt]]&gt;=K$428,K$428,Tabell2[[#This Row],[Inntekt]]))</f>
        <v>405400</v>
      </c>
      <c r="U318" s="10">
        <f>IF(Tabell2[[#This Row],[NIBR11-T]]&lt;=L$430,100,IF(Tabell2[[#This Row],[NIBR11-T]]&gt;=L$429,0,100*(L$429-Tabell2[[#This Row],[NIBR11-T]])/L$432))</f>
        <v>90</v>
      </c>
      <c r="V318" s="10">
        <f>(M$429-Tabell2[[#This Row],[ReisetidOslo-T]])*100/M$432</f>
        <v>55.555892143696212</v>
      </c>
      <c r="W318" s="10">
        <f>100-(N$429-Tabell2[[#This Row],[Beftettotal-T]])*100/N$432</f>
        <v>17.837858428571622</v>
      </c>
      <c r="X318" s="10">
        <f>100-(O$429-Tabell2[[#This Row],[Befvekst10-T]])*100/O$432</f>
        <v>94.714299667285047</v>
      </c>
      <c r="Y318" s="10">
        <f>100-(P$429-Tabell2[[#This Row],[Kvinneandel-T]])*100/P$432</f>
        <v>66.713750583571056</v>
      </c>
      <c r="Z318" s="10">
        <f>(Q$429-Tabell2[[#This Row],[Eldreandel-T]])*100/Q$432</f>
        <v>77.118134677305335</v>
      </c>
      <c r="AA318" s="10">
        <f>100-(R$429-Tabell2[[#This Row],[Sysselsettingsvekst10-T]])*100/R$432</f>
        <v>84.674569400865536</v>
      </c>
      <c r="AB318" s="10">
        <f>100-(S$429-Tabell2[[#This Row],[Yrkesaktivandel-T]])*100/S$432</f>
        <v>53.943361380436592</v>
      </c>
      <c r="AC318" s="10">
        <f>100-(T$429-Tabell2[[#This Row],[Inntekt-T]])*100/T$432</f>
        <v>51.393979784516276</v>
      </c>
      <c r="AD31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70.475020310309461</v>
      </c>
    </row>
    <row r="319" spans="1:30" x14ac:dyDescent="0.25">
      <c r="A319" s="2" t="s">
        <v>905</v>
      </c>
      <c r="B319" s="2">
        <v>317</v>
      </c>
      <c r="C319">
        <f>'Rådata-K'!N318</f>
        <v>5</v>
      </c>
      <c r="D319" s="30">
        <f>'Rådata-K'!M318</f>
        <v>190.21875</v>
      </c>
      <c r="E319" s="32">
        <f>'Rådata-K'!O318</f>
        <v>34.46016771488469</v>
      </c>
      <c r="F319" s="32">
        <f>'Rådata-K'!P318</f>
        <v>6.8671271840715198E-2</v>
      </c>
      <c r="G319" s="32">
        <f>'Rådata-K'!Q318</f>
        <v>0.10798479087452471</v>
      </c>
      <c r="H319" s="32">
        <f>'Rådata-K'!R318</f>
        <v>0.19125475285171104</v>
      </c>
      <c r="I319" s="32">
        <f>'Rådata-K'!S318</f>
        <v>1.7957351290684542E-2</v>
      </c>
      <c r="J319" s="32">
        <f>'Rådata-K'!T318</f>
        <v>0.83448753462603875</v>
      </c>
      <c r="K319" s="67">
        <f>'Rådata-K'!L318</f>
        <v>349200</v>
      </c>
      <c r="L319" s="18">
        <f>Tabell2[[#This Row],[NIBR11]]</f>
        <v>5</v>
      </c>
      <c r="M319" s="32">
        <f>IF(Tabell2[[#This Row],[ReisetidOslo]]&lt;=D$427,D$427,IF(Tabell2[[#This Row],[ReisetidOslo]]&gt;=D$428,D$428,Tabell2[[#This Row],[ReisetidOslo]]))</f>
        <v>190.21875</v>
      </c>
      <c r="N319" s="32">
        <f>IF(Tabell2[[#This Row],[Beftettotal]]&lt;=E$427,E$427,IF(Tabell2[[#This Row],[Beftettotal]]&gt;=E$428,E$428,Tabell2[[#This Row],[Beftettotal]]))</f>
        <v>34.46016771488469</v>
      </c>
      <c r="O319" s="32">
        <f>IF(Tabell2[[#This Row],[Befvekst10]]&lt;=F$427,F$427,IF(Tabell2[[#This Row],[Befvekst10]]&gt;=F$428,F$428,Tabell2[[#This Row],[Befvekst10]]))</f>
        <v>6.8671271840715198E-2</v>
      </c>
      <c r="P319" s="32">
        <f>IF(Tabell2[[#This Row],[Kvinneandel]]&lt;=G$427,G$427,IF(Tabell2[[#This Row],[Kvinneandel]]&gt;=G$428,G$428,Tabell2[[#This Row],[Kvinneandel]]))</f>
        <v>0.10798479087452471</v>
      </c>
      <c r="Q319" s="32">
        <f>IF(Tabell2[[#This Row],[Eldreandel]]&lt;=H$427,H$427,IF(Tabell2[[#This Row],[Eldreandel]]&gt;=H$428,H$428,Tabell2[[#This Row],[Eldreandel]]))</f>
        <v>0.19125475285171104</v>
      </c>
      <c r="R319" s="32">
        <f>IF(Tabell2[[#This Row],[Sysselsettingsvekst10]]&lt;=I$427,I$427,IF(Tabell2[[#This Row],[Sysselsettingsvekst10]]&gt;=I$428,I$428,Tabell2[[#This Row],[Sysselsettingsvekst10]]))</f>
        <v>1.7957351290684542E-2</v>
      </c>
      <c r="S319" s="32">
        <f>IF(Tabell2[[#This Row],[Yrkesaktivandel]]&lt;=J$427,J$427,IF(Tabell2[[#This Row],[Yrkesaktivandel]]&gt;=J$428,J$428,Tabell2[[#This Row],[Yrkesaktivandel]]))</f>
        <v>0.83448753462603875</v>
      </c>
      <c r="T319" s="67">
        <f>IF(Tabell2[[#This Row],[Inntekt]]&lt;=K$427,K$427,IF(Tabell2[[#This Row],[Inntekt]]&gt;=K$428,K$428,Tabell2[[#This Row],[Inntekt]]))</f>
        <v>359130</v>
      </c>
      <c r="U319" s="10">
        <f>IF(Tabell2[[#This Row],[NIBR11-T]]&lt;=L$430,100,IF(Tabell2[[#This Row],[NIBR11-T]]&gt;=L$429,0,100*(L$429-Tabell2[[#This Row],[NIBR11-T]])/L$432))</f>
        <v>60</v>
      </c>
      <c r="V319" s="10">
        <f>(M$429-Tabell2[[#This Row],[ReisetidOslo-T]])*100/M$432</f>
        <v>41.580752543764881</v>
      </c>
      <c r="W319" s="10">
        <f>100-(N$429-Tabell2[[#This Row],[Beftettotal-T]])*100/N$432</f>
        <v>24.755129093433638</v>
      </c>
      <c r="X319" s="10">
        <f>100-(O$429-Tabell2[[#This Row],[Befvekst10-T]])*100/O$432</f>
        <v>53.070525890141482</v>
      </c>
      <c r="Y319" s="10">
        <f>100-(P$429-Tabell2[[#This Row],[Kvinneandel-T]])*100/P$432</f>
        <v>47.723276399628546</v>
      </c>
      <c r="Z319" s="10">
        <f>(Q$429-Tabell2[[#This Row],[Eldreandel-T]])*100/Q$432</f>
        <v>34.275265599230259</v>
      </c>
      <c r="AA319" s="10">
        <f>100-(R$429-Tabell2[[#This Row],[Sysselsettingsvekst10-T]])*100/R$432</f>
        <v>43.645507704332388</v>
      </c>
      <c r="AB319" s="10">
        <f>100-(S$429-Tabell2[[#This Row],[Yrkesaktivandel-T]])*100/S$432</f>
        <v>29.041981217407937</v>
      </c>
      <c r="AC319" s="10">
        <f>100-(T$429-Tabell2[[#This Row],[Inntekt-T]])*100/T$432</f>
        <v>0</v>
      </c>
      <c r="AD31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40.616369333865123</v>
      </c>
    </row>
    <row r="320" spans="1:30" x14ac:dyDescent="0.25">
      <c r="A320" s="2" t="s">
        <v>906</v>
      </c>
      <c r="B320" s="2">
        <v>318</v>
      </c>
      <c r="C320">
        <f>'Rådata-K'!N319</f>
        <v>5</v>
      </c>
      <c r="D320" s="30">
        <f>'Rådata-K'!M319</f>
        <v>195.375</v>
      </c>
      <c r="E320" s="32">
        <f>'Rådata-K'!O319</f>
        <v>30.802105915144011</v>
      </c>
      <c r="F320" s="32">
        <f>'Rådata-K'!P319</f>
        <v>9.4590876575138871E-2</v>
      </c>
      <c r="G320" s="32">
        <f>'Rådata-K'!Q319</f>
        <v>0.12748843756283934</v>
      </c>
      <c r="H320" s="32">
        <f>'Rådata-K'!R319</f>
        <v>0.152976070782224</v>
      </c>
      <c r="I320" s="32">
        <f>'Rådata-K'!S319</f>
        <v>9.6167008898015105E-2</v>
      </c>
      <c r="J320" s="32">
        <f>'Rådata-K'!T319</f>
        <v>0.86106990138755568</v>
      </c>
      <c r="K320" s="67">
        <f>'Rådata-K'!L319</f>
        <v>398500</v>
      </c>
      <c r="L320" s="18">
        <f>Tabell2[[#This Row],[NIBR11]]</f>
        <v>5</v>
      </c>
      <c r="M320" s="32">
        <f>IF(Tabell2[[#This Row],[ReisetidOslo]]&lt;=D$427,D$427,IF(Tabell2[[#This Row],[ReisetidOslo]]&gt;=D$428,D$428,Tabell2[[#This Row],[ReisetidOslo]]))</f>
        <v>195.375</v>
      </c>
      <c r="N320" s="32">
        <f>IF(Tabell2[[#This Row],[Beftettotal]]&lt;=E$427,E$427,IF(Tabell2[[#This Row],[Beftettotal]]&gt;=E$428,E$428,Tabell2[[#This Row],[Beftettotal]]))</f>
        <v>30.802105915144011</v>
      </c>
      <c r="O320" s="32">
        <f>IF(Tabell2[[#This Row],[Befvekst10]]&lt;=F$427,F$427,IF(Tabell2[[#This Row],[Befvekst10]]&gt;=F$428,F$428,Tabell2[[#This Row],[Befvekst10]]))</f>
        <v>9.4590876575138871E-2</v>
      </c>
      <c r="P320" s="32">
        <f>IF(Tabell2[[#This Row],[Kvinneandel]]&lt;=G$427,G$427,IF(Tabell2[[#This Row],[Kvinneandel]]&gt;=G$428,G$428,Tabell2[[#This Row],[Kvinneandel]]))</f>
        <v>0.12748843756283934</v>
      </c>
      <c r="Q320" s="32">
        <f>IF(Tabell2[[#This Row],[Eldreandel]]&lt;=H$427,H$427,IF(Tabell2[[#This Row],[Eldreandel]]&gt;=H$428,H$428,Tabell2[[#This Row],[Eldreandel]]))</f>
        <v>0.152976070782224</v>
      </c>
      <c r="R320" s="32">
        <f>IF(Tabell2[[#This Row],[Sysselsettingsvekst10]]&lt;=I$427,I$427,IF(Tabell2[[#This Row],[Sysselsettingsvekst10]]&gt;=I$428,I$428,Tabell2[[#This Row],[Sysselsettingsvekst10]]))</f>
        <v>9.6167008898015105E-2</v>
      </c>
      <c r="S320" s="32">
        <f>IF(Tabell2[[#This Row],[Yrkesaktivandel]]&lt;=J$427,J$427,IF(Tabell2[[#This Row],[Yrkesaktivandel]]&gt;=J$428,J$428,Tabell2[[#This Row],[Yrkesaktivandel]]))</f>
        <v>0.86106990138755568</v>
      </c>
      <c r="T320" s="67">
        <f>IF(Tabell2[[#This Row],[Inntekt]]&lt;=K$427,K$427,IF(Tabell2[[#This Row],[Inntekt]]&gt;=K$428,K$428,Tabell2[[#This Row],[Inntekt]]))</f>
        <v>398500</v>
      </c>
      <c r="U320" s="10">
        <f>IF(Tabell2[[#This Row],[NIBR11-T]]&lt;=L$430,100,IF(Tabell2[[#This Row],[NIBR11-T]]&gt;=L$429,0,100*(L$429-Tabell2[[#This Row],[NIBR11-T]])/L$432))</f>
        <v>60</v>
      </c>
      <c r="V320" s="10">
        <f>(M$429-Tabell2[[#This Row],[ReisetidOslo-T]])*100/M$432</f>
        <v>39.359270815452099</v>
      </c>
      <c r="W320" s="10">
        <f>100-(N$429-Tabell2[[#This Row],[Beftettotal-T]])*100/N$432</f>
        <v>22.028754193141339</v>
      </c>
      <c r="X320" s="10">
        <f>100-(O$429-Tabell2[[#This Row],[Befvekst10-T]])*100/O$432</f>
        <v>64.236038568196335</v>
      </c>
      <c r="Y320" s="10">
        <f>100-(P$429-Tabell2[[#This Row],[Kvinneandel-T]])*100/P$432</f>
        <v>99.238320669022443</v>
      </c>
      <c r="Z320" s="10">
        <f>(Q$429-Tabell2[[#This Row],[Eldreandel-T]])*100/Q$432</f>
        <v>75.563121751465403</v>
      </c>
      <c r="AA320" s="10">
        <f>100-(R$429-Tabell2[[#This Row],[Sysselsettingsvekst10-T]])*100/R$432</f>
        <v>71.006697796211625</v>
      </c>
      <c r="AB320" s="10">
        <f>100-(S$429-Tabell2[[#This Row],[Yrkesaktivandel-T]])*100/S$432</f>
        <v>49.660430775555163</v>
      </c>
      <c r="AC320" s="10">
        <f>100-(T$429-Tabell2[[#This Row],[Inntekt-T]])*100/T$432</f>
        <v>43.729867821837168</v>
      </c>
      <c r="AD32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56.165781974883402</v>
      </c>
    </row>
    <row r="321" spans="1:30" x14ac:dyDescent="0.25">
      <c r="A321" s="2" t="s">
        <v>907</v>
      </c>
      <c r="B321" s="2">
        <v>319</v>
      </c>
      <c r="C321">
        <f>'Rådata-K'!N320</f>
        <v>5</v>
      </c>
      <c r="D321" s="30">
        <f>'Rådata-K'!M320</f>
        <v>204.375</v>
      </c>
      <c r="E321" s="32">
        <f>'Rådata-K'!O320</f>
        <v>9.5937407125043599</v>
      </c>
      <c r="F321" s="32">
        <f>'Rådata-K'!P320</f>
        <v>6.3529580289356735E-2</v>
      </c>
      <c r="G321" s="32">
        <f>'Rådata-K'!Q320</f>
        <v>0.11475520237053</v>
      </c>
      <c r="H321" s="32">
        <f>'Rådata-K'!R320</f>
        <v>0.16304128224122835</v>
      </c>
      <c r="I321" s="32">
        <f>'Rådata-K'!S320</f>
        <v>6.2417871222076204E-2</v>
      </c>
      <c r="J321" s="32">
        <f>'Rådata-K'!T320</f>
        <v>0.84292009050851491</v>
      </c>
      <c r="K321" s="67">
        <f>'Rådata-K'!L320</f>
        <v>371700</v>
      </c>
      <c r="L321" s="18">
        <f>Tabell2[[#This Row],[NIBR11]]</f>
        <v>5</v>
      </c>
      <c r="M321" s="32">
        <f>IF(Tabell2[[#This Row],[ReisetidOslo]]&lt;=D$427,D$427,IF(Tabell2[[#This Row],[ReisetidOslo]]&gt;=D$428,D$428,Tabell2[[#This Row],[ReisetidOslo]]))</f>
        <v>204.375</v>
      </c>
      <c r="N321" s="32">
        <f>IF(Tabell2[[#This Row],[Beftettotal]]&lt;=E$427,E$427,IF(Tabell2[[#This Row],[Beftettotal]]&gt;=E$428,E$428,Tabell2[[#This Row],[Beftettotal]]))</f>
        <v>9.5937407125043599</v>
      </c>
      <c r="O321" s="32">
        <f>IF(Tabell2[[#This Row],[Befvekst10]]&lt;=F$427,F$427,IF(Tabell2[[#This Row],[Befvekst10]]&gt;=F$428,F$428,Tabell2[[#This Row],[Befvekst10]]))</f>
        <v>6.3529580289356735E-2</v>
      </c>
      <c r="P321" s="32">
        <f>IF(Tabell2[[#This Row],[Kvinneandel]]&lt;=G$427,G$427,IF(Tabell2[[#This Row],[Kvinneandel]]&gt;=G$428,G$428,Tabell2[[#This Row],[Kvinneandel]]))</f>
        <v>0.11475520237053</v>
      </c>
      <c r="Q321" s="32">
        <f>IF(Tabell2[[#This Row],[Eldreandel]]&lt;=H$427,H$427,IF(Tabell2[[#This Row],[Eldreandel]]&gt;=H$428,H$428,Tabell2[[#This Row],[Eldreandel]]))</f>
        <v>0.16304128224122835</v>
      </c>
      <c r="R321" s="32">
        <f>IF(Tabell2[[#This Row],[Sysselsettingsvekst10]]&lt;=I$427,I$427,IF(Tabell2[[#This Row],[Sysselsettingsvekst10]]&gt;=I$428,I$428,Tabell2[[#This Row],[Sysselsettingsvekst10]]))</f>
        <v>6.2417871222076204E-2</v>
      </c>
      <c r="S321" s="32">
        <f>IF(Tabell2[[#This Row],[Yrkesaktivandel]]&lt;=J$427,J$427,IF(Tabell2[[#This Row],[Yrkesaktivandel]]&gt;=J$428,J$428,Tabell2[[#This Row],[Yrkesaktivandel]]))</f>
        <v>0.84292009050851491</v>
      </c>
      <c r="T321" s="67">
        <f>IF(Tabell2[[#This Row],[Inntekt]]&lt;=K$427,K$427,IF(Tabell2[[#This Row],[Inntekt]]&gt;=K$428,K$428,Tabell2[[#This Row],[Inntekt]]))</f>
        <v>371700</v>
      </c>
      <c r="U321" s="10">
        <f>IF(Tabell2[[#This Row],[NIBR11-T]]&lt;=L$430,100,IF(Tabell2[[#This Row],[NIBR11-T]]&gt;=L$429,0,100*(L$429-Tabell2[[#This Row],[NIBR11-T]])/L$432))</f>
        <v>60</v>
      </c>
      <c r="V321" s="10">
        <f>(M$429-Tabell2[[#This Row],[ReisetidOslo-T]])*100/M$432</f>
        <v>35.481775435124327</v>
      </c>
      <c r="W321" s="10">
        <f>100-(N$429-Tabell2[[#This Row],[Beftettotal-T]])*100/N$432</f>
        <v>6.2220352993248014</v>
      </c>
      <c r="X321" s="10">
        <f>100-(O$429-Tabell2[[#This Row],[Befvekst10-T]])*100/O$432</f>
        <v>50.855614714158342</v>
      </c>
      <c r="Y321" s="10">
        <f>100-(P$429-Tabell2[[#This Row],[Kvinneandel-T]])*100/P$432</f>
        <v>65.605985900703118</v>
      </c>
      <c r="Z321" s="10">
        <f>(Q$429-Tabell2[[#This Row],[Eldreandel-T]])*100/Q$432</f>
        <v>64.706661173569401</v>
      </c>
      <c r="AA321" s="10">
        <f>100-(R$429-Tabell2[[#This Row],[Sysselsettingsvekst10-T]])*100/R$432</f>
        <v>59.19975988549232</v>
      </c>
      <c r="AB321" s="10">
        <f>100-(S$429-Tabell2[[#This Row],[Yrkesaktivandel-T]])*100/S$432</f>
        <v>35.582641410269204</v>
      </c>
      <c r="AC321" s="10">
        <f>100-(T$429-Tabell2[[#This Row],[Inntekt-T]])*100/T$432</f>
        <v>13.962012662445858</v>
      </c>
      <c r="AD32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43.731577765810947</v>
      </c>
    </row>
    <row r="322" spans="1:30" x14ac:dyDescent="0.25">
      <c r="A322" s="2" t="s">
        <v>908</v>
      </c>
      <c r="B322" s="2">
        <v>320</v>
      </c>
      <c r="C322">
        <f>'Rådata-K'!N321</f>
        <v>6</v>
      </c>
      <c r="D322" s="30">
        <f>'Rådata-K'!M321</f>
        <v>254.78125</v>
      </c>
      <c r="E322" s="32">
        <f>'Rådata-K'!O321</f>
        <v>4.1801017185785998</v>
      </c>
      <c r="F322" s="32">
        <f>'Rådata-K'!P321</f>
        <v>-4.1174227983225342E-2</v>
      </c>
      <c r="G322" s="32">
        <f>'Rådata-K'!Q321</f>
        <v>9.2246520874751492E-2</v>
      </c>
      <c r="H322" s="32">
        <f>'Rådata-K'!R321</f>
        <v>0.21033797216699801</v>
      </c>
      <c r="I322" s="32">
        <f>'Rådata-K'!S321</f>
        <v>6.6878980891719841E-2</v>
      </c>
      <c r="J322" s="32">
        <f>'Rådata-K'!T321</f>
        <v>0.73362131029517641</v>
      </c>
      <c r="K322" s="67">
        <f>'Rådata-K'!L321</f>
        <v>328800</v>
      </c>
      <c r="L322" s="18">
        <f>Tabell2[[#This Row],[NIBR11]]</f>
        <v>6</v>
      </c>
      <c r="M322" s="32">
        <f>IF(Tabell2[[#This Row],[ReisetidOslo]]&lt;=D$427,D$427,IF(Tabell2[[#This Row],[ReisetidOslo]]&gt;=D$428,D$428,Tabell2[[#This Row],[ReisetidOslo]]))</f>
        <v>254.78125</v>
      </c>
      <c r="N322" s="32">
        <f>IF(Tabell2[[#This Row],[Beftettotal]]&lt;=E$427,E$427,IF(Tabell2[[#This Row],[Beftettotal]]&gt;=E$428,E$428,Tabell2[[#This Row],[Beftettotal]]))</f>
        <v>4.1801017185785998</v>
      </c>
      <c r="O322" s="32">
        <f>IF(Tabell2[[#This Row],[Befvekst10]]&lt;=F$427,F$427,IF(Tabell2[[#This Row],[Befvekst10]]&gt;=F$428,F$428,Tabell2[[#This Row],[Befvekst10]]))</f>
        <v>-4.1174227983225342E-2</v>
      </c>
      <c r="P322" s="32">
        <f>IF(Tabell2[[#This Row],[Kvinneandel]]&lt;=G$427,G$427,IF(Tabell2[[#This Row],[Kvinneandel]]&gt;=G$428,G$428,Tabell2[[#This Row],[Kvinneandel]]))</f>
        <v>9.2246520874751492E-2</v>
      </c>
      <c r="Q322" s="32">
        <f>IF(Tabell2[[#This Row],[Eldreandel]]&lt;=H$427,H$427,IF(Tabell2[[#This Row],[Eldreandel]]&gt;=H$428,H$428,Tabell2[[#This Row],[Eldreandel]]))</f>
        <v>0.21033797216699801</v>
      </c>
      <c r="R322" s="32">
        <f>IF(Tabell2[[#This Row],[Sysselsettingsvekst10]]&lt;=I$427,I$427,IF(Tabell2[[#This Row],[Sysselsettingsvekst10]]&gt;=I$428,I$428,Tabell2[[#This Row],[Sysselsettingsvekst10]]))</f>
        <v>6.6878980891719841E-2</v>
      </c>
      <c r="S322" s="32">
        <f>IF(Tabell2[[#This Row],[Yrkesaktivandel]]&lt;=J$427,J$427,IF(Tabell2[[#This Row],[Yrkesaktivandel]]&gt;=J$428,J$428,Tabell2[[#This Row],[Yrkesaktivandel]]))</f>
        <v>0.7970451171433347</v>
      </c>
      <c r="T322" s="67">
        <f>IF(Tabell2[[#This Row],[Inntekt]]&lt;=K$427,K$427,IF(Tabell2[[#This Row],[Inntekt]]&gt;=K$428,K$428,Tabell2[[#This Row],[Inntekt]]))</f>
        <v>359130</v>
      </c>
      <c r="U322" s="10">
        <f>IF(Tabell2[[#This Row],[NIBR11-T]]&lt;=L$430,100,IF(Tabell2[[#This Row],[NIBR11-T]]&gt;=L$429,0,100*(L$429-Tabell2[[#This Row],[NIBR11-T]])/L$432))</f>
        <v>50</v>
      </c>
      <c r="V322" s="10">
        <f>(M$429-Tabell2[[#This Row],[ReisetidOslo-T]])*100/M$432</f>
        <v>13.765108600163598</v>
      </c>
      <c r="W322" s="10">
        <f>100-(N$429-Tabell2[[#This Row],[Beftettotal-T]])*100/N$432</f>
        <v>2.1872184262667389</v>
      </c>
      <c r="X322" s="10">
        <f>100-(O$429-Tabell2[[#This Row],[Befvekst10-T]])*100/O$432</f>
        <v>5.7518521110387866</v>
      </c>
      <c r="Y322" s="10">
        <f>100-(P$429-Tabell2[[#This Row],[Kvinneandel-T]])*100/P$432</f>
        <v>6.1537335998327052</v>
      </c>
      <c r="Z322" s="10">
        <f>(Q$429-Tabell2[[#This Row],[Eldreandel-T]])*100/Q$432</f>
        <v>13.691871098321254</v>
      </c>
      <c r="AA322" s="10">
        <f>100-(R$429-Tabell2[[#This Row],[Sysselsettingsvekst10-T]])*100/R$432</f>
        <v>60.76045294343507</v>
      </c>
      <c r="AB322" s="10">
        <f>100-(S$429-Tabell2[[#This Row],[Yrkesaktivandel-T]])*100/S$432</f>
        <v>0</v>
      </c>
      <c r="AC322" s="10">
        <f>100-(T$429-Tabell2[[#This Row],[Inntekt-T]])*100/T$432</f>
        <v>0</v>
      </c>
      <c r="AD32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19.813928654101996</v>
      </c>
    </row>
    <row r="323" spans="1:30" x14ac:dyDescent="0.25">
      <c r="A323" s="2" t="s">
        <v>909</v>
      </c>
      <c r="B323" s="2">
        <v>321</v>
      </c>
      <c r="C323">
        <f>'Rådata-K'!N322</f>
        <v>6</v>
      </c>
      <c r="D323" s="30">
        <f>'Rådata-K'!M322</f>
        <v>243.0625</v>
      </c>
      <c r="E323" s="32">
        <f>'Rådata-K'!O322</f>
        <v>2.0697988670027541</v>
      </c>
      <c r="F323" s="32">
        <f>'Rådata-K'!P322</f>
        <v>-8.5008615738081605E-2</v>
      </c>
      <c r="G323" s="32">
        <f>'Rådata-K'!Q322</f>
        <v>9.2278719397363471E-2</v>
      </c>
      <c r="H323" s="32">
        <f>'Rådata-K'!R322</f>
        <v>0.20841180163214063</v>
      </c>
      <c r="I323" s="32">
        <f>'Rådata-K'!S322</f>
        <v>-8.4084084084084076E-2</v>
      </c>
      <c r="J323" s="32">
        <f>'Rådata-K'!T322</f>
        <v>0.92417061611374407</v>
      </c>
      <c r="K323" s="67">
        <f>'Rådata-K'!L322</f>
        <v>360200</v>
      </c>
      <c r="L323" s="18">
        <f>Tabell2[[#This Row],[NIBR11]]</f>
        <v>6</v>
      </c>
      <c r="M323" s="32">
        <f>IF(Tabell2[[#This Row],[ReisetidOslo]]&lt;=D$427,D$427,IF(Tabell2[[#This Row],[ReisetidOslo]]&gt;=D$428,D$428,Tabell2[[#This Row],[ReisetidOslo]]))</f>
        <v>243.0625</v>
      </c>
      <c r="N323" s="32">
        <f>IF(Tabell2[[#This Row],[Beftettotal]]&lt;=E$427,E$427,IF(Tabell2[[#This Row],[Beftettotal]]&gt;=E$428,E$428,Tabell2[[#This Row],[Beftettotal]]))</f>
        <v>2.0697988670027541</v>
      </c>
      <c r="O323" s="32">
        <f>IF(Tabell2[[#This Row],[Befvekst10]]&lt;=F$427,F$427,IF(Tabell2[[#This Row],[Befvekst10]]&gt;=F$428,F$428,Tabell2[[#This Row],[Befvekst10]]))</f>
        <v>-5.4526569027269343E-2</v>
      </c>
      <c r="P323" s="32">
        <f>IF(Tabell2[[#This Row],[Kvinneandel]]&lt;=G$427,G$427,IF(Tabell2[[#This Row],[Kvinneandel]]&gt;=G$428,G$428,Tabell2[[#This Row],[Kvinneandel]]))</f>
        <v>9.2278719397363471E-2</v>
      </c>
      <c r="Q323" s="32">
        <f>IF(Tabell2[[#This Row],[Eldreandel]]&lt;=H$427,H$427,IF(Tabell2[[#This Row],[Eldreandel]]&gt;=H$428,H$428,Tabell2[[#This Row],[Eldreandel]]))</f>
        <v>0.20841180163214063</v>
      </c>
      <c r="R323" s="32">
        <f>IF(Tabell2[[#This Row],[Sysselsettingsvekst10]]&lt;=I$427,I$427,IF(Tabell2[[#This Row],[Sysselsettingsvekst10]]&gt;=I$428,I$428,Tabell2[[#This Row],[Sysselsettingsvekst10]]))</f>
        <v>-8.4084084084084076E-2</v>
      </c>
      <c r="S323" s="32">
        <f>IF(Tabell2[[#This Row],[Yrkesaktivandel]]&lt;=J$427,J$427,IF(Tabell2[[#This Row],[Yrkesaktivandel]]&gt;=J$428,J$428,Tabell2[[#This Row],[Yrkesaktivandel]]))</f>
        <v>0.92417061611374407</v>
      </c>
      <c r="T323" s="67">
        <f>IF(Tabell2[[#This Row],[Inntekt]]&lt;=K$427,K$427,IF(Tabell2[[#This Row],[Inntekt]]&gt;=K$428,K$428,Tabell2[[#This Row],[Inntekt]]))</f>
        <v>360200</v>
      </c>
      <c r="U323" s="10">
        <f>IF(Tabell2[[#This Row],[NIBR11-T]]&lt;=L$430,100,IF(Tabell2[[#This Row],[NIBR11-T]]&gt;=L$429,0,100*(L$429-Tabell2[[#This Row],[NIBR11-T]])/L$432))</f>
        <v>50</v>
      </c>
      <c r="V323" s="10">
        <f>(M$429-Tabell2[[#This Row],[ReisetidOslo-T]])*100/M$432</f>
        <v>18.81393070996538</v>
      </c>
      <c r="W323" s="10">
        <f>100-(N$429-Tabell2[[#This Row],[Beftettotal-T]])*100/N$432</f>
        <v>0.61439734189917772</v>
      </c>
      <c r="X323" s="10">
        <f>100-(O$429-Tabell2[[#This Row],[Befvekst10-T]])*100/O$432</f>
        <v>0</v>
      </c>
      <c r="Y323" s="10">
        <f>100-(P$429-Tabell2[[#This Row],[Kvinneandel-T]])*100/P$432</f>
        <v>6.2387796604116801</v>
      </c>
      <c r="Z323" s="10">
        <f>(Q$429-Tabell2[[#This Row],[Eldreandel-T]])*100/Q$432</f>
        <v>15.769462270961416</v>
      </c>
      <c r="AA323" s="10">
        <f>100-(R$429-Tabell2[[#This Row],[Sysselsettingsvekst10-T]])*100/R$432</f>
        <v>7.9469099102466316</v>
      </c>
      <c r="AB323" s="10">
        <f>100-(S$429-Tabell2[[#This Row],[Yrkesaktivandel-T]])*100/S$432</f>
        <v>98.604112703398272</v>
      </c>
      <c r="AC323" s="10">
        <f>100-(T$429-Tabell2[[#This Row],[Inntekt-T]])*100/T$432</f>
        <v>1.1884927246473467</v>
      </c>
      <c r="AD32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23.817196435584336</v>
      </c>
    </row>
    <row r="324" spans="1:30" x14ac:dyDescent="0.25">
      <c r="A324" s="2" t="s">
        <v>910</v>
      </c>
      <c r="B324" s="2">
        <v>322</v>
      </c>
      <c r="C324">
        <f>'Rådata-K'!N323</f>
        <v>6</v>
      </c>
      <c r="D324" s="30">
        <f>'Rådata-K'!M323</f>
        <v>268.125</v>
      </c>
      <c r="E324" s="32">
        <f>'Rådata-K'!O323</f>
        <v>0.9216019396754116</v>
      </c>
      <c r="F324" s="32">
        <f>'Rådata-K'!P323</f>
        <v>-1.7296313154301357E-2</v>
      </c>
      <c r="G324" s="32">
        <f>'Rådata-K'!Q323</f>
        <v>0.10375173691523853</v>
      </c>
      <c r="H324" s="32">
        <f>'Rådata-K'!R323</f>
        <v>0.20750347383047707</v>
      </c>
      <c r="I324" s="32">
        <f>'Rådata-K'!S323</f>
        <v>-6.4102564102564097E-2</v>
      </c>
      <c r="J324" s="32">
        <f>'Rådata-K'!T323</f>
        <v>0.90129870129870127</v>
      </c>
      <c r="K324" s="67">
        <f>'Rådata-K'!L323</f>
        <v>359900</v>
      </c>
      <c r="L324" s="18">
        <f>Tabell2[[#This Row],[NIBR11]]</f>
        <v>6</v>
      </c>
      <c r="M324" s="32">
        <f>IF(Tabell2[[#This Row],[ReisetidOslo]]&lt;=D$427,D$427,IF(Tabell2[[#This Row],[ReisetidOslo]]&gt;=D$428,D$428,Tabell2[[#This Row],[ReisetidOslo]]))</f>
        <v>268.125</v>
      </c>
      <c r="N324" s="32">
        <f>IF(Tabell2[[#This Row],[Beftettotal]]&lt;=E$427,E$427,IF(Tabell2[[#This Row],[Beftettotal]]&gt;=E$428,E$428,Tabell2[[#This Row],[Beftettotal]]))</f>
        <v>1.2454428893921135</v>
      </c>
      <c r="O324" s="32">
        <f>IF(Tabell2[[#This Row],[Befvekst10]]&lt;=F$427,F$427,IF(Tabell2[[#This Row],[Befvekst10]]&gt;=F$428,F$428,Tabell2[[#This Row],[Befvekst10]]))</f>
        <v>-1.7296313154301357E-2</v>
      </c>
      <c r="P324" s="32">
        <f>IF(Tabell2[[#This Row],[Kvinneandel]]&lt;=G$427,G$427,IF(Tabell2[[#This Row],[Kvinneandel]]&gt;=G$428,G$428,Tabell2[[#This Row],[Kvinneandel]]))</f>
        <v>0.10375173691523853</v>
      </c>
      <c r="Q324" s="32">
        <f>IF(Tabell2[[#This Row],[Eldreandel]]&lt;=H$427,H$427,IF(Tabell2[[#This Row],[Eldreandel]]&gt;=H$428,H$428,Tabell2[[#This Row],[Eldreandel]]))</f>
        <v>0.20750347383047707</v>
      </c>
      <c r="R324" s="32">
        <f>IF(Tabell2[[#This Row],[Sysselsettingsvekst10]]&lt;=I$427,I$427,IF(Tabell2[[#This Row],[Sysselsettingsvekst10]]&gt;=I$428,I$428,Tabell2[[#This Row],[Sysselsettingsvekst10]]))</f>
        <v>-6.4102564102564097E-2</v>
      </c>
      <c r="S324" s="32">
        <f>IF(Tabell2[[#This Row],[Yrkesaktivandel]]&lt;=J$427,J$427,IF(Tabell2[[#This Row],[Yrkesaktivandel]]&gt;=J$428,J$428,Tabell2[[#This Row],[Yrkesaktivandel]]))</f>
        <v>0.90129870129870127</v>
      </c>
      <c r="T324" s="67">
        <f>IF(Tabell2[[#This Row],[Inntekt]]&lt;=K$427,K$427,IF(Tabell2[[#This Row],[Inntekt]]&gt;=K$428,K$428,Tabell2[[#This Row],[Inntekt]]))</f>
        <v>359900</v>
      </c>
      <c r="U324" s="10">
        <f>IF(Tabell2[[#This Row],[NIBR11-T]]&lt;=L$430,100,IF(Tabell2[[#This Row],[NIBR11-T]]&gt;=L$429,0,100*(L$429-Tabell2[[#This Row],[NIBR11-T]])/L$432))</f>
        <v>50</v>
      </c>
      <c r="V324" s="10">
        <f>(M$429-Tabell2[[#This Row],[ReisetidOslo-T]])*100/M$432</f>
        <v>8.0161831578026366</v>
      </c>
      <c r="W324" s="10">
        <f>100-(N$429-Tabell2[[#This Row],[Beftettotal-T]])*100/N$432</f>
        <v>0</v>
      </c>
      <c r="X324" s="10">
        <f>100-(O$429-Tabell2[[#This Row],[Befvekst10-T]])*100/O$432</f>
        <v>16.03785621795258</v>
      </c>
      <c r="Y324" s="10">
        <f>100-(P$429-Tabell2[[#This Row],[Kvinneandel-T]])*100/P$432</f>
        <v>36.542497461605016</v>
      </c>
      <c r="Z324" s="10">
        <f>(Q$429-Tabell2[[#This Row],[Eldreandel-T]])*100/Q$432</f>
        <v>16.749195782843618</v>
      </c>
      <c r="AA324" s="10">
        <f>100-(R$429-Tabell2[[#This Row],[Sysselsettingsvekst10-T]])*100/R$432</f>
        <v>14.937327503991568</v>
      </c>
      <c r="AB324" s="10">
        <f>100-(S$429-Tabell2[[#This Row],[Yrkesaktivandel-T]])*100/S$432</f>
        <v>80.863652414703893</v>
      </c>
      <c r="AC324" s="10">
        <f>100-(T$429-Tabell2[[#This Row],[Inntekt-T]])*100/T$432</f>
        <v>0.85527046540042306</v>
      </c>
      <c r="AD32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26.339399260002804</v>
      </c>
    </row>
    <row r="325" spans="1:30" x14ac:dyDescent="0.25">
      <c r="A325" s="2" t="s">
        <v>911</v>
      </c>
      <c r="B325" s="2">
        <v>323</v>
      </c>
      <c r="C325">
        <f>'Rådata-K'!N324</f>
        <v>11</v>
      </c>
      <c r="D325" s="30">
        <f>'Rådata-K'!M324</f>
        <v>304.25</v>
      </c>
      <c r="E325" s="32">
        <f>'Rådata-K'!O324</f>
        <v>0.46898740588175714</v>
      </c>
      <c r="F325" s="32">
        <f>'Rådata-K'!P324</f>
        <v>-6.4646464646464619E-2</v>
      </c>
      <c r="G325" s="32">
        <f>'Rådata-K'!Q324</f>
        <v>8.9992800575953921E-2</v>
      </c>
      <c r="H325" s="32">
        <f>'Rådata-K'!R324</f>
        <v>0.21670266378689704</v>
      </c>
      <c r="I325" s="32">
        <f>'Rådata-K'!S324</f>
        <v>-7.9939668174962342E-2</v>
      </c>
      <c r="J325" s="32">
        <f>'Rådata-K'!T324</f>
        <v>0.97910863509749302</v>
      </c>
      <c r="K325" s="67">
        <f>'Rådata-K'!L324</f>
        <v>377800</v>
      </c>
      <c r="L325" s="18">
        <f>Tabell2[[#This Row],[NIBR11]]</f>
        <v>11</v>
      </c>
      <c r="M325" s="32">
        <f>IF(Tabell2[[#This Row],[ReisetidOslo]]&lt;=D$427,D$427,IF(Tabell2[[#This Row],[ReisetidOslo]]&gt;=D$428,D$428,Tabell2[[#This Row],[ReisetidOslo]]))</f>
        <v>286.73125000000005</v>
      </c>
      <c r="N325" s="32">
        <f>IF(Tabell2[[#This Row],[Beftettotal]]&lt;=E$427,E$427,IF(Tabell2[[#This Row],[Beftettotal]]&gt;=E$428,E$428,Tabell2[[#This Row],[Beftettotal]]))</f>
        <v>1.2454428893921135</v>
      </c>
      <c r="O325" s="32">
        <f>IF(Tabell2[[#This Row],[Befvekst10]]&lt;=F$427,F$427,IF(Tabell2[[#This Row],[Befvekst10]]&gt;=F$428,F$428,Tabell2[[#This Row],[Befvekst10]]))</f>
        <v>-5.4526569027269343E-2</v>
      </c>
      <c r="P325" s="32">
        <f>IF(Tabell2[[#This Row],[Kvinneandel]]&lt;=G$427,G$427,IF(Tabell2[[#This Row],[Kvinneandel]]&gt;=G$428,G$428,Tabell2[[#This Row],[Kvinneandel]]))</f>
        <v>8.9992800575953921E-2</v>
      </c>
      <c r="Q325" s="32">
        <f>IF(Tabell2[[#This Row],[Eldreandel]]&lt;=H$427,H$427,IF(Tabell2[[#This Row],[Eldreandel]]&gt;=H$428,H$428,Tabell2[[#This Row],[Eldreandel]]))</f>
        <v>0.21670266378689704</v>
      </c>
      <c r="R325" s="32">
        <f>IF(Tabell2[[#This Row],[Sysselsettingsvekst10]]&lt;=I$427,I$427,IF(Tabell2[[#This Row],[Sysselsettingsvekst10]]&gt;=I$428,I$428,Tabell2[[#This Row],[Sysselsettingsvekst10]]))</f>
        <v>-7.9939668174962342E-2</v>
      </c>
      <c r="S325" s="32">
        <f>IF(Tabell2[[#This Row],[Yrkesaktivandel]]&lt;=J$427,J$427,IF(Tabell2[[#This Row],[Yrkesaktivandel]]&gt;=J$428,J$428,Tabell2[[#This Row],[Yrkesaktivandel]]))</f>
        <v>0.92597026588718434</v>
      </c>
      <c r="T325" s="67">
        <f>IF(Tabell2[[#This Row],[Inntekt]]&lt;=K$427,K$427,IF(Tabell2[[#This Row],[Inntekt]]&gt;=K$428,K$428,Tabell2[[#This Row],[Inntekt]]))</f>
        <v>377800</v>
      </c>
      <c r="U325" s="10">
        <f>IF(Tabell2[[#This Row],[NIBR11-T]]&lt;=L$430,100,IF(Tabell2[[#This Row],[NIBR11-T]]&gt;=L$429,0,100*(L$429-Tabell2[[#This Row],[NIBR11-T]])/L$432))</f>
        <v>0</v>
      </c>
      <c r="V325" s="10">
        <f>(M$429-Tabell2[[#This Row],[ReisetidOslo-T]])*100/M$432</f>
        <v>0</v>
      </c>
      <c r="W325" s="10">
        <f>100-(N$429-Tabell2[[#This Row],[Beftettotal-T]])*100/N$432</f>
        <v>0</v>
      </c>
      <c r="X325" s="10">
        <f>100-(O$429-Tabell2[[#This Row],[Befvekst10-T]])*100/O$432</f>
        <v>0</v>
      </c>
      <c r="Y325" s="10">
        <f>100-(P$429-Tabell2[[#This Row],[Kvinneandel-T]])*100/P$432</f>
        <v>0.20097497890523641</v>
      </c>
      <c r="Z325" s="10">
        <f>(Q$429-Tabell2[[#This Row],[Eldreandel-T]])*100/Q$432</f>
        <v>6.8268366235528557</v>
      </c>
      <c r="AA325" s="10">
        <f>100-(R$429-Tabell2[[#This Row],[Sysselsettingsvekst10-T]])*100/R$432</f>
        <v>9.3968095131654792</v>
      </c>
      <c r="AB325" s="10">
        <f>100-(S$429-Tabell2[[#This Row],[Yrkesaktivandel-T]])*100/S$432</f>
        <v>100</v>
      </c>
      <c r="AC325" s="10">
        <f>100-(T$429-Tabell2[[#This Row],[Inntekt-T]])*100/T$432</f>
        <v>20.737531933799843</v>
      </c>
      <c r="AD32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13.364824724819437</v>
      </c>
    </row>
    <row r="326" spans="1:30" x14ac:dyDescent="0.25">
      <c r="A326" s="2" t="s">
        <v>912</v>
      </c>
      <c r="B326" s="2">
        <v>324</v>
      </c>
      <c r="C326">
        <f>'Rådata-K'!N325</f>
        <v>11</v>
      </c>
      <c r="D326" s="30">
        <f>'Rådata-K'!M325</f>
        <v>317.0625</v>
      </c>
      <c r="E326" s="32">
        <f>'Rådata-K'!O325</f>
        <v>0.29594386531714578</v>
      </c>
      <c r="F326" s="32">
        <f>'Rådata-K'!P325</f>
        <v>-0.10836501901140683</v>
      </c>
      <c r="G326" s="32">
        <f>'Rådata-K'!Q325</f>
        <v>8.1023454157782518E-2</v>
      </c>
      <c r="H326" s="32">
        <f>'Rådata-K'!R325</f>
        <v>0.24946695095948826</v>
      </c>
      <c r="I326" s="32">
        <f>'Rådata-K'!S325</f>
        <v>-0.14601769911504425</v>
      </c>
      <c r="J326" s="32">
        <f>'Rådata-K'!T325</f>
        <v>0.99585062240663902</v>
      </c>
      <c r="K326" s="67">
        <f>'Rådata-K'!L325</f>
        <v>370100</v>
      </c>
      <c r="L326" s="18">
        <f>Tabell2[[#This Row],[NIBR11]]</f>
        <v>11</v>
      </c>
      <c r="M326" s="32">
        <f>IF(Tabell2[[#This Row],[ReisetidOslo]]&lt;=D$427,D$427,IF(Tabell2[[#This Row],[ReisetidOslo]]&gt;=D$428,D$428,Tabell2[[#This Row],[ReisetidOslo]]))</f>
        <v>286.73125000000005</v>
      </c>
      <c r="N326" s="32">
        <f>IF(Tabell2[[#This Row],[Beftettotal]]&lt;=E$427,E$427,IF(Tabell2[[#This Row],[Beftettotal]]&gt;=E$428,E$428,Tabell2[[#This Row],[Beftettotal]]))</f>
        <v>1.2454428893921135</v>
      </c>
      <c r="O326" s="32">
        <f>IF(Tabell2[[#This Row],[Befvekst10]]&lt;=F$427,F$427,IF(Tabell2[[#This Row],[Befvekst10]]&gt;=F$428,F$428,Tabell2[[#This Row],[Befvekst10]]))</f>
        <v>-5.4526569027269343E-2</v>
      </c>
      <c r="P326" s="32">
        <f>IF(Tabell2[[#This Row],[Kvinneandel]]&lt;=G$427,G$427,IF(Tabell2[[#This Row],[Kvinneandel]]&gt;=G$428,G$428,Tabell2[[#This Row],[Kvinneandel]]))</f>
        <v>8.9916711250255951E-2</v>
      </c>
      <c r="Q326" s="32">
        <f>IF(Tabell2[[#This Row],[Eldreandel]]&lt;=H$427,H$427,IF(Tabell2[[#This Row],[Eldreandel]]&gt;=H$428,H$428,Tabell2[[#This Row],[Eldreandel]]))</f>
        <v>0.22303194152148736</v>
      </c>
      <c r="R326" s="32">
        <f>IF(Tabell2[[#This Row],[Sysselsettingsvekst10]]&lt;=I$427,I$427,IF(Tabell2[[#This Row],[Sysselsettingsvekst10]]&gt;=I$428,I$428,Tabell2[[#This Row],[Sysselsettingsvekst10]]))</f>
        <v>-0.10679965679965678</v>
      </c>
      <c r="S326" s="32">
        <f>IF(Tabell2[[#This Row],[Yrkesaktivandel]]&lt;=J$427,J$427,IF(Tabell2[[#This Row],[Yrkesaktivandel]]&gt;=J$428,J$428,Tabell2[[#This Row],[Yrkesaktivandel]]))</f>
        <v>0.92597026588718434</v>
      </c>
      <c r="T326" s="67">
        <f>IF(Tabell2[[#This Row],[Inntekt]]&lt;=K$427,K$427,IF(Tabell2[[#This Row],[Inntekt]]&gt;=K$428,K$428,Tabell2[[#This Row],[Inntekt]]))</f>
        <v>370100</v>
      </c>
      <c r="U326" s="10">
        <f>IF(Tabell2[[#This Row],[NIBR11-T]]&lt;=L$430,100,IF(Tabell2[[#This Row],[NIBR11-T]]&gt;=L$429,0,100*(L$429-Tabell2[[#This Row],[NIBR11-T]])/L$432))</f>
        <v>0</v>
      </c>
      <c r="V326" s="10">
        <f>(M$429-Tabell2[[#This Row],[ReisetidOslo-T]])*100/M$432</f>
        <v>0</v>
      </c>
      <c r="W326" s="10">
        <f>100-(N$429-Tabell2[[#This Row],[Beftettotal-T]])*100/N$432</f>
        <v>0</v>
      </c>
      <c r="X326" s="10">
        <f>100-(O$429-Tabell2[[#This Row],[Befvekst10-T]])*100/O$432</f>
        <v>0</v>
      </c>
      <c r="Y326" s="10">
        <f>100-(P$429-Tabell2[[#This Row],[Kvinneandel-T]])*100/P$432</f>
        <v>0</v>
      </c>
      <c r="Z326" s="10">
        <f>(Q$429-Tabell2[[#This Row],[Eldreandel-T]])*100/Q$432</f>
        <v>0</v>
      </c>
      <c r="AA326" s="10">
        <f>100-(R$429-Tabell2[[#This Row],[Sysselsettingsvekst10-T]])*100/R$432</f>
        <v>0</v>
      </c>
      <c r="AB326" s="10">
        <f>100-(S$429-Tabell2[[#This Row],[Yrkesaktivandel-T]])*100/S$432</f>
        <v>100</v>
      </c>
      <c r="AC326" s="10">
        <f>100-(T$429-Tabell2[[#This Row],[Inntekt-T]])*100/T$432</f>
        <v>12.184827279795627</v>
      </c>
      <c r="AD32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11.218482727979563</v>
      </c>
    </row>
    <row r="327" spans="1:30" x14ac:dyDescent="0.25">
      <c r="A327" s="2" t="s">
        <v>913</v>
      </c>
      <c r="B327" s="2">
        <v>325</v>
      </c>
      <c r="C327">
        <f>'Rådata-K'!N326</f>
        <v>11</v>
      </c>
      <c r="D327" s="30">
        <f>'Rådata-K'!M326</f>
        <v>290.875</v>
      </c>
      <c r="E327" s="32">
        <f>'Rådata-K'!O326</f>
        <v>0.61531513731688725</v>
      </c>
      <c r="F327" s="32">
        <f>'Rådata-K'!P326</f>
        <v>-6.5380493033226128E-2</v>
      </c>
      <c r="G327" s="32">
        <f>'Rådata-K'!Q326</f>
        <v>8.7155963302752298E-2</v>
      </c>
      <c r="H327" s="32">
        <f>'Rådata-K'!R326</f>
        <v>0.24426605504587157</v>
      </c>
      <c r="I327" s="32">
        <f>'Rådata-K'!S326</f>
        <v>-8.4337349397590411E-2</v>
      </c>
      <c r="J327" s="32">
        <f>'Rådata-K'!T326</f>
        <v>0.91111111111111109</v>
      </c>
      <c r="K327" s="67">
        <f>'Rådata-K'!L326</f>
        <v>373300</v>
      </c>
      <c r="L327" s="18">
        <f>Tabell2[[#This Row],[NIBR11]]</f>
        <v>11</v>
      </c>
      <c r="M327" s="32">
        <f>IF(Tabell2[[#This Row],[ReisetidOslo]]&lt;=D$427,D$427,IF(Tabell2[[#This Row],[ReisetidOslo]]&gt;=D$428,D$428,Tabell2[[#This Row],[ReisetidOslo]]))</f>
        <v>286.73125000000005</v>
      </c>
      <c r="N327" s="32">
        <f>IF(Tabell2[[#This Row],[Beftettotal]]&lt;=E$427,E$427,IF(Tabell2[[#This Row],[Beftettotal]]&gt;=E$428,E$428,Tabell2[[#This Row],[Beftettotal]]))</f>
        <v>1.2454428893921135</v>
      </c>
      <c r="O327" s="32">
        <f>IF(Tabell2[[#This Row],[Befvekst10]]&lt;=F$427,F$427,IF(Tabell2[[#This Row],[Befvekst10]]&gt;=F$428,F$428,Tabell2[[#This Row],[Befvekst10]]))</f>
        <v>-5.4526569027269343E-2</v>
      </c>
      <c r="P327" s="32">
        <f>IF(Tabell2[[#This Row],[Kvinneandel]]&lt;=G$427,G$427,IF(Tabell2[[#This Row],[Kvinneandel]]&gt;=G$428,G$428,Tabell2[[#This Row],[Kvinneandel]]))</f>
        <v>8.9916711250255951E-2</v>
      </c>
      <c r="Q327" s="32">
        <f>IF(Tabell2[[#This Row],[Eldreandel]]&lt;=H$427,H$427,IF(Tabell2[[#This Row],[Eldreandel]]&gt;=H$428,H$428,Tabell2[[#This Row],[Eldreandel]]))</f>
        <v>0.22303194152148736</v>
      </c>
      <c r="R327" s="32">
        <f>IF(Tabell2[[#This Row],[Sysselsettingsvekst10]]&lt;=I$427,I$427,IF(Tabell2[[#This Row],[Sysselsettingsvekst10]]&gt;=I$428,I$428,Tabell2[[#This Row],[Sysselsettingsvekst10]]))</f>
        <v>-8.4337349397590411E-2</v>
      </c>
      <c r="S327" s="32">
        <f>IF(Tabell2[[#This Row],[Yrkesaktivandel]]&lt;=J$427,J$427,IF(Tabell2[[#This Row],[Yrkesaktivandel]]&gt;=J$428,J$428,Tabell2[[#This Row],[Yrkesaktivandel]]))</f>
        <v>0.91111111111111109</v>
      </c>
      <c r="T327" s="67">
        <f>IF(Tabell2[[#This Row],[Inntekt]]&lt;=K$427,K$427,IF(Tabell2[[#This Row],[Inntekt]]&gt;=K$428,K$428,Tabell2[[#This Row],[Inntekt]]))</f>
        <v>373300</v>
      </c>
      <c r="U327" s="10">
        <f>IF(Tabell2[[#This Row],[NIBR11-T]]&lt;=L$430,100,IF(Tabell2[[#This Row],[NIBR11-T]]&gt;=L$429,0,100*(L$429-Tabell2[[#This Row],[NIBR11-T]])/L$432))</f>
        <v>0</v>
      </c>
      <c r="V327" s="10">
        <f>(M$429-Tabell2[[#This Row],[ReisetidOslo-T]])*100/M$432</f>
        <v>0</v>
      </c>
      <c r="W327" s="10">
        <f>100-(N$429-Tabell2[[#This Row],[Beftettotal-T]])*100/N$432</f>
        <v>0</v>
      </c>
      <c r="X327" s="10">
        <f>100-(O$429-Tabell2[[#This Row],[Befvekst10-T]])*100/O$432</f>
        <v>0</v>
      </c>
      <c r="Y327" s="10">
        <f>100-(P$429-Tabell2[[#This Row],[Kvinneandel-T]])*100/P$432</f>
        <v>0</v>
      </c>
      <c r="Z327" s="10">
        <f>(Q$429-Tabell2[[#This Row],[Eldreandel-T]])*100/Q$432</f>
        <v>0</v>
      </c>
      <c r="AA327" s="10">
        <f>100-(R$429-Tabell2[[#This Row],[Sysselsettingsvekst10-T]])*100/R$432</f>
        <v>7.8583065254662188</v>
      </c>
      <c r="AB327" s="10">
        <f>100-(S$429-Tabell2[[#This Row],[Yrkesaktivandel-T]])*100/S$432</f>
        <v>88.474587835771572</v>
      </c>
      <c r="AC327" s="10">
        <f>100-(T$429-Tabell2[[#This Row],[Inntekt-T]])*100/T$432</f>
        <v>15.739198045096074</v>
      </c>
      <c r="AD32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11.207209240633388</v>
      </c>
    </row>
    <row r="328" spans="1:30" x14ac:dyDescent="0.25">
      <c r="A328" s="2" t="s">
        <v>914</v>
      </c>
      <c r="B328" s="2">
        <v>326</v>
      </c>
      <c r="C328">
        <f>'Rådata-K'!N327</f>
        <v>6</v>
      </c>
      <c r="D328" s="30">
        <f>'Rådata-K'!M327</f>
        <v>247.25</v>
      </c>
      <c r="E328" s="32">
        <f>'Rådata-K'!O327</f>
        <v>2.1713299946310851</v>
      </c>
      <c r="F328" s="32">
        <f>'Rådata-K'!P327</f>
        <v>3.3514872224549741E-2</v>
      </c>
      <c r="G328" s="32">
        <f>'Rådata-K'!Q327</f>
        <v>9.7689501418727204E-2</v>
      </c>
      <c r="H328" s="32">
        <f>'Rådata-K'!R327</f>
        <v>0.19092014592622619</v>
      </c>
      <c r="I328" s="32">
        <f>'Rådata-K'!S327</f>
        <v>1.7391304347826875E-3</v>
      </c>
      <c r="J328" s="32">
        <f>'Rådata-K'!T327</f>
        <v>0.87928464977645304</v>
      </c>
      <c r="K328" s="67">
        <f>'Rådata-K'!L327</f>
        <v>348100</v>
      </c>
      <c r="L328" s="18">
        <f>Tabell2[[#This Row],[NIBR11]]</f>
        <v>6</v>
      </c>
      <c r="M328" s="32">
        <f>IF(Tabell2[[#This Row],[ReisetidOslo]]&lt;=D$427,D$427,IF(Tabell2[[#This Row],[ReisetidOslo]]&gt;=D$428,D$428,Tabell2[[#This Row],[ReisetidOslo]]))</f>
        <v>247.25</v>
      </c>
      <c r="N328" s="32">
        <f>IF(Tabell2[[#This Row],[Beftettotal]]&lt;=E$427,E$427,IF(Tabell2[[#This Row],[Beftettotal]]&gt;=E$428,E$428,Tabell2[[#This Row],[Beftettotal]]))</f>
        <v>2.1713299946310851</v>
      </c>
      <c r="O328" s="32">
        <f>IF(Tabell2[[#This Row],[Befvekst10]]&lt;=F$427,F$427,IF(Tabell2[[#This Row],[Befvekst10]]&gt;=F$428,F$428,Tabell2[[#This Row],[Befvekst10]]))</f>
        <v>3.3514872224549741E-2</v>
      </c>
      <c r="P328" s="32">
        <f>IF(Tabell2[[#This Row],[Kvinneandel]]&lt;=G$427,G$427,IF(Tabell2[[#This Row],[Kvinneandel]]&gt;=G$428,G$428,Tabell2[[#This Row],[Kvinneandel]]))</f>
        <v>9.7689501418727204E-2</v>
      </c>
      <c r="Q328" s="32">
        <f>IF(Tabell2[[#This Row],[Eldreandel]]&lt;=H$427,H$427,IF(Tabell2[[#This Row],[Eldreandel]]&gt;=H$428,H$428,Tabell2[[#This Row],[Eldreandel]]))</f>
        <v>0.19092014592622619</v>
      </c>
      <c r="R328" s="32">
        <f>IF(Tabell2[[#This Row],[Sysselsettingsvekst10]]&lt;=I$427,I$427,IF(Tabell2[[#This Row],[Sysselsettingsvekst10]]&gt;=I$428,I$428,Tabell2[[#This Row],[Sysselsettingsvekst10]]))</f>
        <v>1.7391304347826875E-3</v>
      </c>
      <c r="S328" s="32">
        <f>IF(Tabell2[[#This Row],[Yrkesaktivandel]]&lt;=J$427,J$427,IF(Tabell2[[#This Row],[Yrkesaktivandel]]&gt;=J$428,J$428,Tabell2[[#This Row],[Yrkesaktivandel]]))</f>
        <v>0.87928464977645304</v>
      </c>
      <c r="T328" s="67">
        <f>IF(Tabell2[[#This Row],[Inntekt]]&lt;=K$427,K$427,IF(Tabell2[[#This Row],[Inntekt]]&gt;=K$428,K$428,Tabell2[[#This Row],[Inntekt]]))</f>
        <v>359130</v>
      </c>
      <c r="U328" s="10">
        <f>IF(Tabell2[[#This Row],[NIBR11-T]]&lt;=L$430,100,IF(Tabell2[[#This Row],[NIBR11-T]]&gt;=L$429,0,100*(L$429-Tabell2[[#This Row],[NIBR11-T]])/L$432))</f>
        <v>50</v>
      </c>
      <c r="V328" s="10">
        <f>(M$429-Tabell2[[#This Row],[ReisetidOslo-T]])*100/M$432</f>
        <v>17.009818276062877</v>
      </c>
      <c r="W328" s="10">
        <f>100-(N$429-Tabell2[[#This Row],[Beftettotal-T]])*100/N$432</f>
        <v>0.69006908642353437</v>
      </c>
      <c r="X328" s="10">
        <f>100-(O$429-Tabell2[[#This Row],[Befvekst10-T]])*100/O$432</f>
        <v>37.926034697043576</v>
      </c>
      <c r="Y328" s="10">
        <f>100-(P$429-Tabell2[[#This Row],[Kvinneandel-T]])*100/P$432</f>
        <v>20.530295489069246</v>
      </c>
      <c r="Z328" s="10">
        <f>(Q$429-Tabell2[[#This Row],[Eldreandel-T]])*100/Q$432</f>
        <v>34.63617673462101</v>
      </c>
      <c r="AA328" s="10">
        <f>100-(R$429-Tabell2[[#This Row],[Sysselsettingsvekst10-T]])*100/R$432</f>
        <v>37.971658241669367</v>
      </c>
      <c r="AB328" s="10">
        <f>100-(S$429-Tabell2[[#This Row],[Yrkesaktivandel-T]])*100/S$432</f>
        <v>63.788588521633613</v>
      </c>
      <c r="AC328" s="10">
        <f>100-(T$429-Tabell2[[#This Row],[Inntekt-T]])*100/T$432</f>
        <v>0</v>
      </c>
      <c r="AD32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32.289543963172171</v>
      </c>
    </row>
    <row r="329" spans="1:30" x14ac:dyDescent="0.25">
      <c r="A329" s="2" t="s">
        <v>915</v>
      </c>
      <c r="B329" s="2">
        <v>327</v>
      </c>
      <c r="C329">
        <f>'Rådata-K'!N328</f>
        <v>6</v>
      </c>
      <c r="D329" s="30">
        <f>'Rådata-K'!M328</f>
        <v>249.625</v>
      </c>
      <c r="E329" s="32">
        <f>'Rådata-K'!O328</f>
        <v>1.6748820692213919</v>
      </c>
      <c r="F329" s="32">
        <f>'Rådata-K'!P328</f>
        <v>-1.5797788309637184E-3</v>
      </c>
      <c r="G329" s="32">
        <f>'Rådata-K'!Q328</f>
        <v>9.6518987341772153E-2</v>
      </c>
      <c r="H329" s="32">
        <f>'Rådata-K'!R328</f>
        <v>0.20806962025316456</v>
      </c>
      <c r="I329" s="32">
        <f>'Rådata-K'!S328</f>
        <v>2.9880478087649376E-2</v>
      </c>
      <c r="J329" s="32">
        <f>'Rådata-K'!T328</f>
        <v>1.0223642172523961</v>
      </c>
      <c r="K329" s="67">
        <f>'Rådata-K'!L328</f>
        <v>405800</v>
      </c>
      <c r="L329" s="18">
        <f>Tabell2[[#This Row],[NIBR11]]</f>
        <v>6</v>
      </c>
      <c r="M329" s="32">
        <f>IF(Tabell2[[#This Row],[ReisetidOslo]]&lt;=D$427,D$427,IF(Tabell2[[#This Row],[ReisetidOslo]]&gt;=D$428,D$428,Tabell2[[#This Row],[ReisetidOslo]]))</f>
        <v>249.625</v>
      </c>
      <c r="N329" s="32">
        <f>IF(Tabell2[[#This Row],[Beftettotal]]&lt;=E$427,E$427,IF(Tabell2[[#This Row],[Beftettotal]]&gt;=E$428,E$428,Tabell2[[#This Row],[Beftettotal]]))</f>
        <v>1.6748820692213919</v>
      </c>
      <c r="O329" s="32">
        <f>IF(Tabell2[[#This Row],[Befvekst10]]&lt;=F$427,F$427,IF(Tabell2[[#This Row],[Befvekst10]]&gt;=F$428,F$428,Tabell2[[#This Row],[Befvekst10]]))</f>
        <v>-1.5797788309637184E-3</v>
      </c>
      <c r="P329" s="32">
        <f>IF(Tabell2[[#This Row],[Kvinneandel]]&lt;=G$427,G$427,IF(Tabell2[[#This Row],[Kvinneandel]]&gt;=G$428,G$428,Tabell2[[#This Row],[Kvinneandel]]))</f>
        <v>9.6518987341772153E-2</v>
      </c>
      <c r="Q329" s="32">
        <f>IF(Tabell2[[#This Row],[Eldreandel]]&lt;=H$427,H$427,IF(Tabell2[[#This Row],[Eldreandel]]&gt;=H$428,H$428,Tabell2[[#This Row],[Eldreandel]]))</f>
        <v>0.20806962025316456</v>
      </c>
      <c r="R329" s="32">
        <f>IF(Tabell2[[#This Row],[Sysselsettingsvekst10]]&lt;=I$427,I$427,IF(Tabell2[[#This Row],[Sysselsettingsvekst10]]&gt;=I$428,I$428,Tabell2[[#This Row],[Sysselsettingsvekst10]]))</f>
        <v>2.9880478087649376E-2</v>
      </c>
      <c r="S329" s="32">
        <f>IF(Tabell2[[#This Row],[Yrkesaktivandel]]&lt;=J$427,J$427,IF(Tabell2[[#This Row],[Yrkesaktivandel]]&gt;=J$428,J$428,Tabell2[[#This Row],[Yrkesaktivandel]]))</f>
        <v>0.92597026588718434</v>
      </c>
      <c r="T329" s="67">
        <f>IF(Tabell2[[#This Row],[Inntekt]]&lt;=K$427,K$427,IF(Tabell2[[#This Row],[Inntekt]]&gt;=K$428,K$428,Tabell2[[#This Row],[Inntekt]]))</f>
        <v>405800</v>
      </c>
      <c r="U329" s="10">
        <f>IF(Tabell2[[#This Row],[NIBR11-T]]&lt;=L$430,100,IF(Tabell2[[#This Row],[NIBR11-T]]&gt;=L$429,0,100*(L$429-Tabell2[[#This Row],[NIBR11-T]])/L$432))</f>
        <v>50</v>
      </c>
      <c r="V329" s="10">
        <f>(M$429-Tabell2[[#This Row],[ReisetidOslo-T]])*100/M$432</f>
        <v>15.986590328476384</v>
      </c>
      <c r="W329" s="10">
        <f>100-(N$429-Tabell2[[#This Row],[Beftettotal-T]])*100/N$432</f>
        <v>0.32006353779252095</v>
      </c>
      <c r="X329" s="10">
        <f>100-(O$429-Tabell2[[#This Row],[Befvekst10-T]])*100/O$432</f>
        <v>22.808143228126497</v>
      </c>
      <c r="Y329" s="10">
        <f>100-(P$429-Tabell2[[#This Row],[Kvinneandel-T]])*100/P$432</f>
        <v>17.438612920372208</v>
      </c>
      <c r="Z329" s="10">
        <f>(Q$429-Tabell2[[#This Row],[Eldreandel-T]])*100/Q$432</f>
        <v>16.138543304824889</v>
      </c>
      <c r="AA329" s="10">
        <f>100-(R$429-Tabell2[[#This Row],[Sysselsettingsvekst10-T]])*100/R$432</f>
        <v>47.816743696941522</v>
      </c>
      <c r="AB329" s="10">
        <f>100-(S$429-Tabell2[[#This Row],[Yrkesaktivandel-T]])*100/S$432</f>
        <v>100</v>
      </c>
      <c r="AC329" s="10">
        <f>100-(T$429-Tabell2[[#This Row],[Inntekt-T]])*100/T$432</f>
        <v>51.838276130178826</v>
      </c>
      <c r="AD32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37.836653826224079</v>
      </c>
    </row>
    <row r="330" spans="1:30" x14ac:dyDescent="0.25">
      <c r="A330" s="2" t="s">
        <v>916</v>
      </c>
      <c r="B330" s="2">
        <v>328</v>
      </c>
      <c r="C330">
        <f>'Rådata-K'!N329</f>
        <v>6</v>
      </c>
      <c r="D330" s="30">
        <f>'Rådata-K'!M329</f>
        <v>227.40625</v>
      </c>
      <c r="E330" s="32">
        <f>'Rådata-K'!O329</f>
        <v>5.261787637539566</v>
      </c>
      <c r="F330" s="32">
        <f>'Rådata-K'!P329</f>
        <v>9.5577746077032844E-2</v>
      </c>
      <c r="G330" s="32">
        <f>'Rådata-K'!Q329</f>
        <v>0.12057291666666667</v>
      </c>
      <c r="H330" s="32">
        <f>'Rådata-K'!R329</f>
        <v>0.15781249999999999</v>
      </c>
      <c r="I330" s="32">
        <f>'Rådata-K'!S329</f>
        <v>0.17340590979782267</v>
      </c>
      <c r="J330" s="32">
        <f>'Rådata-K'!T329</f>
        <v>0.91753063147973613</v>
      </c>
      <c r="K330" s="67">
        <f>'Rådata-K'!L329</f>
        <v>395900</v>
      </c>
      <c r="L330" s="18">
        <f>Tabell2[[#This Row],[NIBR11]]</f>
        <v>6</v>
      </c>
      <c r="M330" s="32">
        <f>IF(Tabell2[[#This Row],[ReisetidOslo]]&lt;=D$427,D$427,IF(Tabell2[[#This Row],[ReisetidOslo]]&gt;=D$428,D$428,Tabell2[[#This Row],[ReisetidOslo]]))</f>
        <v>227.40625</v>
      </c>
      <c r="N330" s="32">
        <f>IF(Tabell2[[#This Row],[Beftettotal]]&lt;=E$427,E$427,IF(Tabell2[[#This Row],[Beftettotal]]&gt;=E$428,E$428,Tabell2[[#This Row],[Beftettotal]]))</f>
        <v>5.261787637539566</v>
      </c>
      <c r="O330" s="32">
        <f>IF(Tabell2[[#This Row],[Befvekst10]]&lt;=F$427,F$427,IF(Tabell2[[#This Row],[Befvekst10]]&gt;=F$428,F$428,Tabell2[[#This Row],[Befvekst10]]))</f>
        <v>9.5577746077032844E-2</v>
      </c>
      <c r="P330" s="32">
        <f>IF(Tabell2[[#This Row],[Kvinneandel]]&lt;=G$427,G$427,IF(Tabell2[[#This Row],[Kvinneandel]]&gt;=G$428,G$428,Tabell2[[#This Row],[Kvinneandel]]))</f>
        <v>0.12057291666666667</v>
      </c>
      <c r="Q330" s="32">
        <f>IF(Tabell2[[#This Row],[Eldreandel]]&lt;=H$427,H$427,IF(Tabell2[[#This Row],[Eldreandel]]&gt;=H$428,H$428,Tabell2[[#This Row],[Eldreandel]]))</f>
        <v>0.15781249999999999</v>
      </c>
      <c r="R330" s="32">
        <f>IF(Tabell2[[#This Row],[Sysselsettingsvekst10]]&lt;=I$427,I$427,IF(Tabell2[[#This Row],[Sysselsettingsvekst10]]&gt;=I$428,I$428,Tabell2[[#This Row],[Sysselsettingsvekst10]]))</f>
        <v>0.17340590979782267</v>
      </c>
      <c r="S330" s="32">
        <f>IF(Tabell2[[#This Row],[Yrkesaktivandel]]&lt;=J$427,J$427,IF(Tabell2[[#This Row],[Yrkesaktivandel]]&gt;=J$428,J$428,Tabell2[[#This Row],[Yrkesaktivandel]]))</f>
        <v>0.91753063147973613</v>
      </c>
      <c r="T330" s="67">
        <f>IF(Tabell2[[#This Row],[Inntekt]]&lt;=K$427,K$427,IF(Tabell2[[#This Row],[Inntekt]]&gt;=K$428,K$428,Tabell2[[#This Row],[Inntekt]]))</f>
        <v>395900</v>
      </c>
      <c r="U330" s="10">
        <f>IF(Tabell2[[#This Row],[NIBR11-T]]&lt;=L$430,100,IF(Tabell2[[#This Row],[NIBR11-T]]&gt;=L$429,0,100*(L$429-Tabell2[[#This Row],[NIBR11-T]])/L$432))</f>
        <v>50</v>
      </c>
      <c r="V330" s="10">
        <f>(M$429-Tabell2[[#This Row],[ReisetidOslo-T]])*100/M$432</f>
        <v>25.559157048660563</v>
      </c>
      <c r="W330" s="10">
        <f>100-(N$429-Tabell2[[#This Row],[Beftettotal-T]])*100/N$432</f>
        <v>2.9934052817386174</v>
      </c>
      <c r="X330" s="10">
        <f>100-(O$429-Tabell2[[#This Row],[Befvekst10-T]])*100/O$432</f>
        <v>64.66115708554581</v>
      </c>
      <c r="Y330" s="10">
        <f>100-(P$429-Tabell2[[#This Row],[Kvinneandel-T]])*100/P$432</f>
        <v>80.972333245978177</v>
      </c>
      <c r="Z330" s="10">
        <f>(Q$429-Tabell2[[#This Row],[Eldreandel-T]])*100/Q$432</f>
        <v>70.346489855113418</v>
      </c>
      <c r="AA330" s="10">
        <f>100-(R$429-Tabell2[[#This Row],[Sysselsettingsvekst10-T]])*100/R$432</f>
        <v>98.028274346488871</v>
      </c>
      <c r="AB330" s="10">
        <f>100-(S$429-Tabell2[[#This Row],[Yrkesaktivandel-T]])*100/S$432</f>
        <v>93.453849392707539</v>
      </c>
      <c r="AC330" s="10">
        <f>100-(T$429-Tabell2[[#This Row],[Inntekt-T]])*100/T$432</f>
        <v>40.841941575030546</v>
      </c>
      <c r="AD33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56.585835336626367</v>
      </c>
    </row>
    <row r="331" spans="1:30" x14ac:dyDescent="0.25">
      <c r="A331" s="2" t="s">
        <v>917</v>
      </c>
      <c r="B331" s="2">
        <v>329</v>
      </c>
      <c r="C331">
        <f>'Rådata-K'!N330</f>
        <v>6</v>
      </c>
      <c r="D331" s="30">
        <f>'Rådata-K'!M330</f>
        <v>253.875</v>
      </c>
      <c r="E331" s="32">
        <f>'Rådata-K'!O330</f>
        <v>1.1538390872177413</v>
      </c>
      <c r="F331" s="32">
        <f>'Rådata-K'!P330</f>
        <v>-0.1179775280898876</v>
      </c>
      <c r="G331" s="32">
        <f>'Rådata-K'!Q330</f>
        <v>7.9617834394904455E-2</v>
      </c>
      <c r="H331" s="32">
        <f>'Rådata-K'!R330</f>
        <v>0.25636942675159236</v>
      </c>
      <c r="I331" s="32">
        <f>'Rådata-K'!S330</f>
        <v>-2.1645021645021689E-2</v>
      </c>
      <c r="J331" s="32">
        <f>'Rådata-K'!T330</f>
        <v>0.84709480122324154</v>
      </c>
      <c r="K331" s="67">
        <f>'Rådata-K'!L330</f>
        <v>332400</v>
      </c>
      <c r="L331" s="18">
        <f>Tabell2[[#This Row],[NIBR11]]</f>
        <v>6</v>
      </c>
      <c r="M331" s="32">
        <f>IF(Tabell2[[#This Row],[ReisetidOslo]]&lt;=D$427,D$427,IF(Tabell2[[#This Row],[ReisetidOslo]]&gt;=D$428,D$428,Tabell2[[#This Row],[ReisetidOslo]]))</f>
        <v>253.875</v>
      </c>
      <c r="N331" s="32">
        <f>IF(Tabell2[[#This Row],[Beftettotal]]&lt;=E$427,E$427,IF(Tabell2[[#This Row],[Beftettotal]]&gt;=E$428,E$428,Tabell2[[#This Row],[Beftettotal]]))</f>
        <v>1.2454428893921135</v>
      </c>
      <c r="O331" s="32">
        <f>IF(Tabell2[[#This Row],[Befvekst10]]&lt;=F$427,F$427,IF(Tabell2[[#This Row],[Befvekst10]]&gt;=F$428,F$428,Tabell2[[#This Row],[Befvekst10]]))</f>
        <v>-5.4526569027269343E-2</v>
      </c>
      <c r="P331" s="32">
        <f>IF(Tabell2[[#This Row],[Kvinneandel]]&lt;=G$427,G$427,IF(Tabell2[[#This Row],[Kvinneandel]]&gt;=G$428,G$428,Tabell2[[#This Row],[Kvinneandel]]))</f>
        <v>8.9916711250255951E-2</v>
      </c>
      <c r="Q331" s="32">
        <f>IF(Tabell2[[#This Row],[Eldreandel]]&lt;=H$427,H$427,IF(Tabell2[[#This Row],[Eldreandel]]&gt;=H$428,H$428,Tabell2[[#This Row],[Eldreandel]]))</f>
        <v>0.22303194152148736</v>
      </c>
      <c r="R331" s="32">
        <f>IF(Tabell2[[#This Row],[Sysselsettingsvekst10]]&lt;=I$427,I$427,IF(Tabell2[[#This Row],[Sysselsettingsvekst10]]&gt;=I$428,I$428,Tabell2[[#This Row],[Sysselsettingsvekst10]]))</f>
        <v>-2.1645021645021689E-2</v>
      </c>
      <c r="S331" s="32">
        <f>IF(Tabell2[[#This Row],[Yrkesaktivandel]]&lt;=J$427,J$427,IF(Tabell2[[#This Row],[Yrkesaktivandel]]&gt;=J$428,J$428,Tabell2[[#This Row],[Yrkesaktivandel]]))</f>
        <v>0.84709480122324154</v>
      </c>
      <c r="T331" s="67">
        <f>IF(Tabell2[[#This Row],[Inntekt]]&lt;=K$427,K$427,IF(Tabell2[[#This Row],[Inntekt]]&gt;=K$428,K$428,Tabell2[[#This Row],[Inntekt]]))</f>
        <v>359130</v>
      </c>
      <c r="U331" s="10">
        <f>IF(Tabell2[[#This Row],[NIBR11-T]]&lt;=L$430,100,IF(Tabell2[[#This Row],[NIBR11-T]]&gt;=L$429,0,100*(L$429-Tabell2[[#This Row],[NIBR11-T]])/L$432))</f>
        <v>50</v>
      </c>
      <c r="V331" s="10">
        <f>(M$429-Tabell2[[#This Row],[ReisetidOslo-T]])*100/M$432</f>
        <v>14.155550843321604</v>
      </c>
      <c r="W331" s="10">
        <f>100-(N$429-Tabell2[[#This Row],[Beftettotal-T]])*100/N$432</f>
        <v>0</v>
      </c>
      <c r="X331" s="10">
        <f>100-(O$429-Tabell2[[#This Row],[Befvekst10-T]])*100/O$432</f>
        <v>0</v>
      </c>
      <c r="Y331" s="10">
        <f>100-(P$429-Tabell2[[#This Row],[Kvinneandel-T]])*100/P$432</f>
        <v>0</v>
      </c>
      <c r="Z331" s="10">
        <f>(Q$429-Tabell2[[#This Row],[Eldreandel-T]])*100/Q$432</f>
        <v>0</v>
      </c>
      <c r="AA331" s="10">
        <f>100-(R$429-Tabell2[[#This Row],[Sysselsettingsvekst10-T]])*100/R$432</f>
        <v>29.790849761400935</v>
      </c>
      <c r="AB331" s="10">
        <f>100-(S$429-Tabell2[[#This Row],[Yrkesaktivandel-T]])*100/S$432</f>
        <v>38.820730142686344</v>
      </c>
      <c r="AC331" s="10">
        <f>100-(T$429-Tabell2[[#This Row],[Inntekt-T]])*100/T$432</f>
        <v>0</v>
      </c>
      <c r="AD33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18.27671307474089</v>
      </c>
    </row>
    <row r="332" spans="1:30" x14ac:dyDescent="0.25">
      <c r="A332" s="2" t="s">
        <v>918</v>
      </c>
      <c r="B332" s="2">
        <v>330</v>
      </c>
      <c r="C332">
        <f>'Rådata-K'!N331</f>
        <v>11</v>
      </c>
      <c r="D332" s="30">
        <f>'Rådata-K'!M331</f>
        <v>265.4375</v>
      </c>
      <c r="E332" s="32">
        <f>'Rådata-K'!O331</f>
        <v>2.3762289899936779</v>
      </c>
      <c r="F332" s="32">
        <f>'Rådata-K'!P331</f>
        <v>-6.6780821917808209E-2</v>
      </c>
      <c r="G332" s="32">
        <f>'Rådata-K'!Q331</f>
        <v>8.990825688073395E-2</v>
      </c>
      <c r="H332" s="32">
        <f>'Rådata-K'!R331</f>
        <v>0.20183486238532111</v>
      </c>
      <c r="I332" s="32">
        <f>'Rådata-K'!S331</f>
        <v>0.19908466819221959</v>
      </c>
      <c r="J332" s="32">
        <f>'Rådata-K'!T331</f>
        <v>0.93668831168831168</v>
      </c>
      <c r="K332" s="67">
        <f>'Rådata-K'!L331</f>
        <v>376300</v>
      </c>
      <c r="L332" s="18">
        <f>Tabell2[[#This Row],[NIBR11]]</f>
        <v>11</v>
      </c>
      <c r="M332" s="32">
        <f>IF(Tabell2[[#This Row],[ReisetidOslo]]&lt;=D$427,D$427,IF(Tabell2[[#This Row],[ReisetidOslo]]&gt;=D$428,D$428,Tabell2[[#This Row],[ReisetidOslo]]))</f>
        <v>265.4375</v>
      </c>
      <c r="N332" s="32">
        <f>IF(Tabell2[[#This Row],[Beftettotal]]&lt;=E$427,E$427,IF(Tabell2[[#This Row],[Beftettotal]]&gt;=E$428,E$428,Tabell2[[#This Row],[Beftettotal]]))</f>
        <v>2.3762289899936779</v>
      </c>
      <c r="O332" s="32">
        <f>IF(Tabell2[[#This Row],[Befvekst10]]&lt;=F$427,F$427,IF(Tabell2[[#This Row],[Befvekst10]]&gt;=F$428,F$428,Tabell2[[#This Row],[Befvekst10]]))</f>
        <v>-5.4526569027269343E-2</v>
      </c>
      <c r="P332" s="32">
        <f>IF(Tabell2[[#This Row],[Kvinneandel]]&lt;=G$427,G$427,IF(Tabell2[[#This Row],[Kvinneandel]]&gt;=G$428,G$428,Tabell2[[#This Row],[Kvinneandel]]))</f>
        <v>8.9916711250255951E-2</v>
      </c>
      <c r="Q332" s="32">
        <f>IF(Tabell2[[#This Row],[Eldreandel]]&lt;=H$427,H$427,IF(Tabell2[[#This Row],[Eldreandel]]&gt;=H$428,H$428,Tabell2[[#This Row],[Eldreandel]]))</f>
        <v>0.20183486238532111</v>
      </c>
      <c r="R332" s="32">
        <f>IF(Tabell2[[#This Row],[Sysselsettingsvekst10]]&lt;=I$427,I$427,IF(Tabell2[[#This Row],[Sysselsettingsvekst10]]&gt;=I$428,I$428,Tabell2[[#This Row],[Sysselsettingsvekst10]]))</f>
        <v>0.17904192152607218</v>
      </c>
      <c r="S332" s="32">
        <f>IF(Tabell2[[#This Row],[Yrkesaktivandel]]&lt;=J$427,J$427,IF(Tabell2[[#This Row],[Yrkesaktivandel]]&gt;=J$428,J$428,Tabell2[[#This Row],[Yrkesaktivandel]]))</f>
        <v>0.92597026588718434</v>
      </c>
      <c r="T332" s="67">
        <f>IF(Tabell2[[#This Row],[Inntekt]]&lt;=K$427,K$427,IF(Tabell2[[#This Row],[Inntekt]]&gt;=K$428,K$428,Tabell2[[#This Row],[Inntekt]]))</f>
        <v>376300</v>
      </c>
      <c r="U332" s="10">
        <f>IF(Tabell2[[#This Row],[NIBR11-T]]&lt;=L$430,100,IF(Tabell2[[#This Row],[NIBR11-T]]&gt;=L$429,0,100*(L$429-Tabell2[[#This Row],[NIBR11-T]])/L$432))</f>
        <v>0</v>
      </c>
      <c r="V332" s="10">
        <f>(M$429-Tabell2[[#This Row],[ReisetidOslo-T]])*100/M$432</f>
        <v>9.174046361650511</v>
      </c>
      <c r="W332" s="10">
        <f>100-(N$429-Tabell2[[#This Row],[Beftettotal-T]])*100/N$432</f>
        <v>0.84278150863882217</v>
      </c>
      <c r="X332" s="10">
        <f>100-(O$429-Tabell2[[#This Row],[Befvekst10-T]])*100/O$432</f>
        <v>0</v>
      </c>
      <c r="Y332" s="10">
        <f>100-(P$429-Tabell2[[#This Row],[Kvinneandel-T]])*100/P$432</f>
        <v>0</v>
      </c>
      <c r="Z332" s="10">
        <f>(Q$429-Tabell2[[#This Row],[Eldreandel-T]])*100/Q$432</f>
        <v>22.863429640363918</v>
      </c>
      <c r="AA332" s="10">
        <f>100-(R$429-Tabell2[[#This Row],[Sysselsettingsvekst10-T]])*100/R$432</f>
        <v>100</v>
      </c>
      <c r="AB332" s="10">
        <f>100-(S$429-Tabell2[[#This Row],[Yrkesaktivandel-T]])*100/S$432</f>
        <v>100</v>
      </c>
      <c r="AC332" s="10">
        <f>100-(T$429-Tabell2[[#This Row],[Inntekt-T]])*100/T$432</f>
        <v>19.071420637565254</v>
      </c>
      <c r="AD33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24.051996332803654</v>
      </c>
    </row>
    <row r="333" spans="1:30" x14ac:dyDescent="0.25">
      <c r="A333" s="2" t="s">
        <v>919</v>
      </c>
      <c r="B333" s="2">
        <v>331</v>
      </c>
      <c r="C333">
        <f>'Rådata-K'!N332</f>
        <v>9</v>
      </c>
      <c r="D333" s="30">
        <f>'Rådata-K'!M332</f>
        <v>250.84375</v>
      </c>
      <c r="E333" s="32">
        <f>'Rådata-K'!O332</f>
        <v>13.863001663058144</v>
      </c>
      <c r="F333" s="32">
        <f>'Rådata-K'!P332</f>
        <v>9.9278427469519759E-2</v>
      </c>
      <c r="G333" s="32">
        <f>'Rådata-K'!Q332</f>
        <v>0.12358533272974197</v>
      </c>
      <c r="H333" s="32">
        <f>'Rådata-K'!R332</f>
        <v>0.14961521050248983</v>
      </c>
      <c r="I333" s="32">
        <f>'Rådata-K'!S332</f>
        <v>0.13743218806509949</v>
      </c>
      <c r="J333" s="32">
        <f>'Rådata-K'!T332</f>
        <v>0.88211708099438657</v>
      </c>
      <c r="K333" s="67">
        <f>'Rådata-K'!L332</f>
        <v>413000</v>
      </c>
      <c r="L333" s="18">
        <f>Tabell2[[#This Row],[NIBR11]]</f>
        <v>9</v>
      </c>
      <c r="M333" s="32">
        <f>IF(Tabell2[[#This Row],[ReisetidOslo]]&lt;=D$427,D$427,IF(Tabell2[[#This Row],[ReisetidOslo]]&gt;=D$428,D$428,Tabell2[[#This Row],[ReisetidOslo]]))</f>
        <v>250.84375</v>
      </c>
      <c r="N333" s="32">
        <f>IF(Tabell2[[#This Row],[Beftettotal]]&lt;=E$427,E$427,IF(Tabell2[[#This Row],[Beftettotal]]&gt;=E$428,E$428,Tabell2[[#This Row],[Beftettotal]]))</f>
        <v>13.863001663058144</v>
      </c>
      <c r="O333" s="32">
        <f>IF(Tabell2[[#This Row],[Befvekst10]]&lt;=F$427,F$427,IF(Tabell2[[#This Row],[Befvekst10]]&gt;=F$428,F$428,Tabell2[[#This Row],[Befvekst10]]))</f>
        <v>9.9278427469519759E-2</v>
      </c>
      <c r="P333" s="32">
        <f>IF(Tabell2[[#This Row],[Kvinneandel]]&lt;=G$427,G$427,IF(Tabell2[[#This Row],[Kvinneandel]]&gt;=G$428,G$428,Tabell2[[#This Row],[Kvinneandel]]))</f>
        <v>0.12358533272974197</v>
      </c>
      <c r="Q333" s="32">
        <f>IF(Tabell2[[#This Row],[Eldreandel]]&lt;=H$427,H$427,IF(Tabell2[[#This Row],[Eldreandel]]&gt;=H$428,H$428,Tabell2[[#This Row],[Eldreandel]]))</f>
        <v>0.14961521050248983</v>
      </c>
      <c r="R333" s="32">
        <f>IF(Tabell2[[#This Row],[Sysselsettingsvekst10]]&lt;=I$427,I$427,IF(Tabell2[[#This Row],[Sysselsettingsvekst10]]&gt;=I$428,I$428,Tabell2[[#This Row],[Sysselsettingsvekst10]]))</f>
        <v>0.13743218806509949</v>
      </c>
      <c r="S333" s="32">
        <f>IF(Tabell2[[#This Row],[Yrkesaktivandel]]&lt;=J$427,J$427,IF(Tabell2[[#This Row],[Yrkesaktivandel]]&gt;=J$428,J$428,Tabell2[[#This Row],[Yrkesaktivandel]]))</f>
        <v>0.88211708099438657</v>
      </c>
      <c r="T333" s="67">
        <f>IF(Tabell2[[#This Row],[Inntekt]]&lt;=K$427,K$427,IF(Tabell2[[#This Row],[Inntekt]]&gt;=K$428,K$428,Tabell2[[#This Row],[Inntekt]]))</f>
        <v>413000</v>
      </c>
      <c r="U333" s="10">
        <f>IF(Tabell2[[#This Row],[NIBR11-T]]&lt;=L$430,100,IF(Tabell2[[#This Row],[NIBR11-T]]&gt;=L$429,0,100*(L$429-Tabell2[[#This Row],[NIBR11-T]])/L$432))</f>
        <v>20</v>
      </c>
      <c r="V333" s="10">
        <f>(M$429-Tabell2[[#This Row],[ReisetidOslo-T]])*100/M$432</f>
        <v>15.461512829056998</v>
      </c>
      <c r="W333" s="10">
        <f>100-(N$429-Tabell2[[#This Row],[Beftettotal-T]])*100/N$432</f>
        <v>9.4039405091310186</v>
      </c>
      <c r="X333" s="10">
        <f>100-(O$429-Tabell2[[#This Row],[Befvekst10-T]])*100/O$432</f>
        <v>66.255317391176447</v>
      </c>
      <c r="Y333" s="10">
        <f>100-(P$429-Tabell2[[#This Row],[Kvinneandel-T]])*100/P$432</f>
        <v>88.92903741146813</v>
      </c>
      <c r="Z333" s="10">
        <f>(Q$429-Tabell2[[#This Row],[Eldreandel-T]])*100/Q$432</f>
        <v>79.188186886297629</v>
      </c>
      <c r="AA333" s="10">
        <f>100-(R$429-Tabell2[[#This Row],[Sysselsettingsvekst10-T]])*100/R$432</f>
        <v>85.443078748481938</v>
      </c>
      <c r="AB333" s="10">
        <f>100-(S$429-Tabell2[[#This Row],[Yrkesaktivandel-T]])*100/S$432</f>
        <v>65.985546404196185</v>
      </c>
      <c r="AC333" s="10">
        <f>100-(T$429-Tabell2[[#This Row],[Inntekt-T]])*100/T$432</f>
        <v>59.835610352104851</v>
      </c>
      <c r="AD33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49.269893577420675</v>
      </c>
    </row>
    <row r="334" spans="1:30" x14ac:dyDescent="0.25">
      <c r="A334" s="2" t="s">
        <v>920</v>
      </c>
      <c r="B334" s="2">
        <v>332</v>
      </c>
      <c r="C334">
        <f>'Rådata-K'!N333</f>
        <v>9</v>
      </c>
      <c r="D334" s="30">
        <f>'Rådata-K'!M333</f>
        <v>264.25</v>
      </c>
      <c r="E334" s="32">
        <f>'Rådata-K'!O333</f>
        <v>4.8129344099518523</v>
      </c>
      <c r="F334" s="32">
        <f>'Rådata-K'!P333</f>
        <v>1.2812931204415623E-2</v>
      </c>
      <c r="G334" s="32">
        <f>'Rådata-K'!Q333</f>
        <v>0.10626702997275204</v>
      </c>
      <c r="H334" s="32">
        <f>'Rådata-K'!R333</f>
        <v>0.18100428182172051</v>
      </c>
      <c r="I334" s="32">
        <f>'Rådata-K'!S333</f>
        <v>4.8395581273014132E-2</v>
      </c>
      <c r="J334" s="32">
        <f>'Rådata-K'!T333</f>
        <v>0.85674451028232834</v>
      </c>
      <c r="K334" s="67">
        <f>'Rådata-K'!L333</f>
        <v>379200</v>
      </c>
      <c r="L334" s="18">
        <f>Tabell2[[#This Row],[NIBR11]]</f>
        <v>9</v>
      </c>
      <c r="M334" s="32">
        <f>IF(Tabell2[[#This Row],[ReisetidOslo]]&lt;=D$427,D$427,IF(Tabell2[[#This Row],[ReisetidOslo]]&gt;=D$428,D$428,Tabell2[[#This Row],[ReisetidOslo]]))</f>
        <v>264.25</v>
      </c>
      <c r="N334" s="32">
        <f>IF(Tabell2[[#This Row],[Beftettotal]]&lt;=E$427,E$427,IF(Tabell2[[#This Row],[Beftettotal]]&gt;=E$428,E$428,Tabell2[[#This Row],[Beftettotal]]))</f>
        <v>4.8129344099518523</v>
      </c>
      <c r="O334" s="32">
        <f>IF(Tabell2[[#This Row],[Befvekst10]]&lt;=F$427,F$427,IF(Tabell2[[#This Row],[Befvekst10]]&gt;=F$428,F$428,Tabell2[[#This Row],[Befvekst10]]))</f>
        <v>1.2812931204415623E-2</v>
      </c>
      <c r="P334" s="32">
        <f>IF(Tabell2[[#This Row],[Kvinneandel]]&lt;=G$427,G$427,IF(Tabell2[[#This Row],[Kvinneandel]]&gt;=G$428,G$428,Tabell2[[#This Row],[Kvinneandel]]))</f>
        <v>0.10626702997275204</v>
      </c>
      <c r="Q334" s="32">
        <f>IF(Tabell2[[#This Row],[Eldreandel]]&lt;=H$427,H$427,IF(Tabell2[[#This Row],[Eldreandel]]&gt;=H$428,H$428,Tabell2[[#This Row],[Eldreandel]]))</f>
        <v>0.18100428182172051</v>
      </c>
      <c r="R334" s="32">
        <f>IF(Tabell2[[#This Row],[Sysselsettingsvekst10]]&lt;=I$427,I$427,IF(Tabell2[[#This Row],[Sysselsettingsvekst10]]&gt;=I$428,I$428,Tabell2[[#This Row],[Sysselsettingsvekst10]]))</f>
        <v>4.8395581273014132E-2</v>
      </c>
      <c r="S334" s="32">
        <f>IF(Tabell2[[#This Row],[Yrkesaktivandel]]&lt;=J$427,J$427,IF(Tabell2[[#This Row],[Yrkesaktivandel]]&gt;=J$428,J$428,Tabell2[[#This Row],[Yrkesaktivandel]]))</f>
        <v>0.85674451028232834</v>
      </c>
      <c r="T334" s="67">
        <f>IF(Tabell2[[#This Row],[Inntekt]]&lt;=K$427,K$427,IF(Tabell2[[#This Row],[Inntekt]]&gt;=K$428,K$428,Tabell2[[#This Row],[Inntekt]]))</f>
        <v>379200</v>
      </c>
      <c r="U334" s="10">
        <f>IF(Tabell2[[#This Row],[NIBR11-T]]&lt;=L$430,100,IF(Tabell2[[#This Row],[NIBR11-T]]&gt;=L$429,0,100*(L$429-Tabell2[[#This Row],[NIBR11-T]])/L$432))</f>
        <v>20</v>
      </c>
      <c r="V334" s="10">
        <f>(M$429-Tabell2[[#This Row],[ReisetidOslo-T]])*100/M$432</f>
        <v>9.6856603354437585</v>
      </c>
      <c r="W334" s="10">
        <f>100-(N$429-Tabell2[[#This Row],[Beftettotal-T]])*100/N$432</f>
        <v>2.6588723403604604</v>
      </c>
      <c r="X334" s="10">
        <f>100-(O$429-Tabell2[[#This Row],[Befvekst10-T]])*100/O$432</f>
        <v>29.00816008865246</v>
      </c>
      <c r="Y334" s="10">
        <f>100-(P$429-Tabell2[[#This Row],[Kvinneandel-T]])*100/P$432</f>
        <v>43.186149045282498</v>
      </c>
      <c r="Z334" s="10">
        <f>(Q$429-Tabell2[[#This Row],[Eldreandel-T]])*100/Q$432</f>
        <v>45.331549423491339</v>
      </c>
      <c r="AA334" s="10">
        <f>100-(R$429-Tabell2[[#This Row],[Sysselsettingsvekst10-T]])*100/R$432</f>
        <v>54.294143973631144</v>
      </c>
      <c r="AB334" s="10">
        <f>100-(S$429-Tabell2[[#This Row],[Yrkesaktivandel-T]])*100/S$432</f>
        <v>46.305467723450349</v>
      </c>
      <c r="AC334" s="10">
        <f>100-(T$429-Tabell2[[#This Row],[Inntekt-T]])*100/T$432</f>
        <v>22.292569143618792</v>
      </c>
      <c r="AD33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27.751188292819638</v>
      </c>
    </row>
    <row r="335" spans="1:30" x14ac:dyDescent="0.25">
      <c r="A335" s="2" t="s">
        <v>921</v>
      </c>
      <c r="B335" s="2">
        <v>333</v>
      </c>
      <c r="C335">
        <f>'Rådata-K'!N334</f>
        <v>11</v>
      </c>
      <c r="D335" s="30">
        <f>'Rådata-K'!M334</f>
        <v>330.5625</v>
      </c>
      <c r="E335" s="32">
        <f>'Rådata-K'!O334</f>
        <v>5.3081257953099437</v>
      </c>
      <c r="F335" s="32">
        <f>'Rådata-K'!P334</f>
        <v>1.7152658662091813E-3</v>
      </c>
      <c r="G335" s="32">
        <f>'Rådata-K'!Q334</f>
        <v>7.3630136986301373E-2</v>
      </c>
      <c r="H335" s="32">
        <f>'Rådata-K'!R334</f>
        <v>0.26198630136986301</v>
      </c>
      <c r="I335" s="32">
        <f>'Rådata-K'!S334</f>
        <v>-7.1146245059288571E-2</v>
      </c>
      <c r="J335" s="32">
        <f>'Rådata-K'!T334</f>
        <v>0.8910891089108911</v>
      </c>
      <c r="K335" s="67">
        <f>'Rådata-K'!L334</f>
        <v>364200</v>
      </c>
      <c r="L335" s="18">
        <f>Tabell2[[#This Row],[NIBR11]]</f>
        <v>11</v>
      </c>
      <c r="M335" s="32">
        <f>IF(Tabell2[[#This Row],[ReisetidOslo]]&lt;=D$427,D$427,IF(Tabell2[[#This Row],[ReisetidOslo]]&gt;=D$428,D$428,Tabell2[[#This Row],[ReisetidOslo]]))</f>
        <v>286.73125000000005</v>
      </c>
      <c r="N335" s="32">
        <f>IF(Tabell2[[#This Row],[Beftettotal]]&lt;=E$427,E$427,IF(Tabell2[[#This Row],[Beftettotal]]&gt;=E$428,E$428,Tabell2[[#This Row],[Beftettotal]]))</f>
        <v>5.3081257953099437</v>
      </c>
      <c r="O335" s="32">
        <f>IF(Tabell2[[#This Row],[Befvekst10]]&lt;=F$427,F$427,IF(Tabell2[[#This Row],[Befvekst10]]&gt;=F$428,F$428,Tabell2[[#This Row],[Befvekst10]]))</f>
        <v>1.7152658662091813E-3</v>
      </c>
      <c r="P335" s="32">
        <f>IF(Tabell2[[#This Row],[Kvinneandel]]&lt;=G$427,G$427,IF(Tabell2[[#This Row],[Kvinneandel]]&gt;=G$428,G$428,Tabell2[[#This Row],[Kvinneandel]]))</f>
        <v>8.9916711250255951E-2</v>
      </c>
      <c r="Q335" s="32">
        <f>IF(Tabell2[[#This Row],[Eldreandel]]&lt;=H$427,H$427,IF(Tabell2[[#This Row],[Eldreandel]]&gt;=H$428,H$428,Tabell2[[#This Row],[Eldreandel]]))</f>
        <v>0.22303194152148736</v>
      </c>
      <c r="R335" s="32">
        <f>IF(Tabell2[[#This Row],[Sysselsettingsvekst10]]&lt;=I$427,I$427,IF(Tabell2[[#This Row],[Sysselsettingsvekst10]]&gt;=I$428,I$428,Tabell2[[#This Row],[Sysselsettingsvekst10]]))</f>
        <v>-7.1146245059288571E-2</v>
      </c>
      <c r="S335" s="32">
        <f>IF(Tabell2[[#This Row],[Yrkesaktivandel]]&lt;=J$427,J$427,IF(Tabell2[[#This Row],[Yrkesaktivandel]]&gt;=J$428,J$428,Tabell2[[#This Row],[Yrkesaktivandel]]))</f>
        <v>0.8910891089108911</v>
      </c>
      <c r="T335" s="67">
        <f>IF(Tabell2[[#This Row],[Inntekt]]&lt;=K$427,K$427,IF(Tabell2[[#This Row],[Inntekt]]&gt;=K$428,K$428,Tabell2[[#This Row],[Inntekt]]))</f>
        <v>364200</v>
      </c>
      <c r="U335" s="10">
        <f>IF(Tabell2[[#This Row],[NIBR11-T]]&lt;=L$430,100,IF(Tabell2[[#This Row],[NIBR11-T]]&gt;=L$429,0,100*(L$429-Tabell2[[#This Row],[NIBR11-T]])/L$432))</f>
        <v>0</v>
      </c>
      <c r="V335" s="10">
        <f>(M$429-Tabell2[[#This Row],[ReisetidOslo-T]])*100/M$432</f>
        <v>0</v>
      </c>
      <c r="W335" s="10">
        <f>100-(N$429-Tabell2[[#This Row],[Beftettotal-T]])*100/N$432</f>
        <v>3.0279413823260626</v>
      </c>
      <c r="X335" s="10">
        <f>100-(O$429-Tabell2[[#This Row],[Befvekst10-T]])*100/O$432</f>
        <v>24.227565465386903</v>
      </c>
      <c r="Y335" s="10">
        <f>100-(P$429-Tabell2[[#This Row],[Kvinneandel-T]])*100/P$432</f>
        <v>0</v>
      </c>
      <c r="Z335" s="10">
        <f>(Q$429-Tabell2[[#This Row],[Eldreandel-T]])*100/Q$432</f>
        <v>0</v>
      </c>
      <c r="AA335" s="10">
        <f>100-(R$429-Tabell2[[#This Row],[Sysselsettingsvekst10-T]])*100/R$432</f>
        <v>12.473137025481861</v>
      </c>
      <c r="AB335" s="10">
        <f>100-(S$429-Tabell2[[#This Row],[Yrkesaktivandel-T]])*100/S$432</f>
        <v>72.944644767798081</v>
      </c>
      <c r="AC335" s="10">
        <f>100-(T$429-Tabell2[[#This Row],[Inntekt-T]])*100/T$432</f>
        <v>5.6314561812729096</v>
      </c>
      <c r="AD33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14.253231028765271</v>
      </c>
    </row>
    <row r="336" spans="1:30" x14ac:dyDescent="0.25">
      <c r="A336" s="2" t="s">
        <v>922</v>
      </c>
      <c r="B336" s="2">
        <v>334</v>
      </c>
      <c r="C336">
        <f>'Rådata-K'!N335</f>
        <v>6</v>
      </c>
      <c r="D336" s="30">
        <f>'Rådata-K'!M335</f>
        <v>216.375</v>
      </c>
      <c r="E336" s="32">
        <f>'Rådata-K'!O335</f>
        <v>18.596001859600189</v>
      </c>
      <c r="F336" s="32">
        <f>'Rådata-K'!P335</f>
        <v>8.8313217544899736E-4</v>
      </c>
      <c r="G336" s="32">
        <f>'Rådata-K'!Q335</f>
        <v>0.10441176470588236</v>
      </c>
      <c r="H336" s="32">
        <f>'Rådata-K'!R335</f>
        <v>0.1726470588235294</v>
      </c>
      <c r="I336" s="32">
        <f>'Rådata-K'!S335</f>
        <v>1.0492700729926918E-2</v>
      </c>
      <c r="J336" s="32">
        <f>'Rådata-K'!T335</f>
        <v>0.87691480784735287</v>
      </c>
      <c r="K336" s="67">
        <f>'Rådata-K'!L335</f>
        <v>390900</v>
      </c>
      <c r="L336" s="18">
        <f>Tabell2[[#This Row],[NIBR11]]</f>
        <v>6</v>
      </c>
      <c r="M336" s="32">
        <f>IF(Tabell2[[#This Row],[ReisetidOslo]]&lt;=D$427,D$427,IF(Tabell2[[#This Row],[ReisetidOslo]]&gt;=D$428,D$428,Tabell2[[#This Row],[ReisetidOslo]]))</f>
        <v>216.375</v>
      </c>
      <c r="N336" s="32">
        <f>IF(Tabell2[[#This Row],[Beftettotal]]&lt;=E$427,E$427,IF(Tabell2[[#This Row],[Beftettotal]]&gt;=E$428,E$428,Tabell2[[#This Row],[Beftettotal]]))</f>
        <v>18.596001859600189</v>
      </c>
      <c r="O336" s="32">
        <f>IF(Tabell2[[#This Row],[Befvekst10]]&lt;=F$427,F$427,IF(Tabell2[[#This Row],[Befvekst10]]&gt;=F$428,F$428,Tabell2[[#This Row],[Befvekst10]]))</f>
        <v>8.8313217544899736E-4</v>
      </c>
      <c r="P336" s="32">
        <f>IF(Tabell2[[#This Row],[Kvinneandel]]&lt;=G$427,G$427,IF(Tabell2[[#This Row],[Kvinneandel]]&gt;=G$428,G$428,Tabell2[[#This Row],[Kvinneandel]]))</f>
        <v>0.10441176470588236</v>
      </c>
      <c r="Q336" s="32">
        <f>IF(Tabell2[[#This Row],[Eldreandel]]&lt;=H$427,H$427,IF(Tabell2[[#This Row],[Eldreandel]]&gt;=H$428,H$428,Tabell2[[#This Row],[Eldreandel]]))</f>
        <v>0.1726470588235294</v>
      </c>
      <c r="R336" s="32">
        <f>IF(Tabell2[[#This Row],[Sysselsettingsvekst10]]&lt;=I$427,I$427,IF(Tabell2[[#This Row],[Sysselsettingsvekst10]]&gt;=I$428,I$428,Tabell2[[#This Row],[Sysselsettingsvekst10]]))</f>
        <v>1.0492700729926918E-2</v>
      </c>
      <c r="S336" s="32">
        <f>IF(Tabell2[[#This Row],[Yrkesaktivandel]]&lt;=J$427,J$427,IF(Tabell2[[#This Row],[Yrkesaktivandel]]&gt;=J$428,J$428,Tabell2[[#This Row],[Yrkesaktivandel]]))</f>
        <v>0.87691480784735287</v>
      </c>
      <c r="T336" s="67">
        <f>IF(Tabell2[[#This Row],[Inntekt]]&lt;=K$427,K$427,IF(Tabell2[[#This Row],[Inntekt]]&gt;=K$428,K$428,Tabell2[[#This Row],[Inntekt]]))</f>
        <v>390900</v>
      </c>
      <c r="U336" s="10">
        <f>IF(Tabell2[[#This Row],[NIBR11-T]]&lt;=L$430,100,IF(Tabell2[[#This Row],[NIBR11-T]]&gt;=L$429,0,100*(L$429-Tabell2[[#This Row],[NIBR11-T]])/L$432))</f>
        <v>50</v>
      </c>
      <c r="V336" s="10">
        <f>(M$429-Tabell2[[#This Row],[ReisetidOslo-T]])*100/M$432</f>
        <v>30.311781594687307</v>
      </c>
      <c r="W336" s="10">
        <f>100-(N$429-Tabell2[[#This Row],[Beftettotal-T]])*100/N$432</f>
        <v>12.931473297080501</v>
      </c>
      <c r="X336" s="10">
        <f>100-(O$429-Tabell2[[#This Row],[Befvekst10-T]])*100/O$432</f>
        <v>23.869103236922456</v>
      </c>
      <c r="Y336" s="10">
        <f>100-(P$429-Tabell2[[#This Row],[Kvinneandel-T]])*100/P$432</f>
        <v>38.285830972379614</v>
      </c>
      <c r="Z336" s="10">
        <f>(Q$429-Tabell2[[#This Row],[Eldreandel-T]])*100/Q$432</f>
        <v>54.345752690863392</v>
      </c>
      <c r="AA336" s="10">
        <f>100-(R$429-Tabell2[[#This Row],[Sysselsettingsvekst10-T]])*100/R$432</f>
        <v>41.034043478420749</v>
      </c>
      <c r="AB336" s="10">
        <f>100-(S$429-Tabell2[[#This Row],[Yrkesaktivandel-T]])*100/S$432</f>
        <v>61.950435180574765</v>
      </c>
      <c r="AC336" s="10">
        <f>100-(T$429-Tabell2[[#This Row],[Inntekt-T]])*100/T$432</f>
        <v>35.288237254248585</v>
      </c>
      <c r="AD33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37.556996911047833</v>
      </c>
    </row>
    <row r="337" spans="1:30" x14ac:dyDescent="0.25">
      <c r="A337" s="52" t="s">
        <v>923</v>
      </c>
      <c r="B337" s="52">
        <v>335</v>
      </c>
      <c r="C337">
        <f>'Rådata-K'!N336</f>
        <v>2</v>
      </c>
      <c r="D337" s="30">
        <f>'Rådata-K'!M336</f>
        <v>245</v>
      </c>
      <c r="E337" s="32">
        <f>'Rådata-K'!O336</f>
        <v>9.6121111840165856</v>
      </c>
      <c r="F337" s="32">
        <f>'Rådata-K'!P336</f>
        <v>2.619289340101516E-2</v>
      </c>
      <c r="G337" s="32">
        <f>'Rådata-K'!Q336</f>
        <v>0.1001187178472497</v>
      </c>
      <c r="H337" s="32">
        <f>'Rådata-K'!R336</f>
        <v>0.18876137712702809</v>
      </c>
      <c r="I337" s="32">
        <f>'Rådata-K'!S336</f>
        <v>-2.2737927801218971E-2</v>
      </c>
      <c r="J337" s="32">
        <f>'Rådata-K'!T336</f>
        <v>0.87283658225541993</v>
      </c>
      <c r="K337" s="67">
        <f>'Rådata-K'!L336</f>
        <v>370519.03049838828</v>
      </c>
      <c r="L337" s="18">
        <f>Tabell2[[#This Row],[NIBR11]]</f>
        <v>2</v>
      </c>
      <c r="M337" s="32">
        <f>IF(Tabell2[[#This Row],[ReisetidOslo]]&lt;=D$427,D$427,IF(Tabell2[[#This Row],[ReisetidOslo]]&gt;=D$428,D$428,Tabell2[[#This Row],[ReisetidOslo]]))</f>
        <v>245</v>
      </c>
      <c r="N337" s="32">
        <f>IF(Tabell2[[#This Row],[Beftettotal]]&lt;=E$427,E$427,IF(Tabell2[[#This Row],[Beftettotal]]&gt;=E$428,E$428,Tabell2[[#This Row],[Beftettotal]]))</f>
        <v>9.6121111840165856</v>
      </c>
      <c r="O337" s="32">
        <f>IF(Tabell2[[#This Row],[Befvekst10]]&lt;=F$427,F$427,IF(Tabell2[[#This Row],[Befvekst10]]&gt;=F$428,F$428,Tabell2[[#This Row],[Befvekst10]]))</f>
        <v>2.619289340101516E-2</v>
      </c>
      <c r="P337" s="32">
        <f>IF(Tabell2[[#This Row],[Kvinneandel]]&lt;=G$427,G$427,IF(Tabell2[[#This Row],[Kvinneandel]]&gt;=G$428,G$428,Tabell2[[#This Row],[Kvinneandel]]))</f>
        <v>0.1001187178472497</v>
      </c>
      <c r="Q337" s="32">
        <f>IF(Tabell2[[#This Row],[Eldreandel]]&lt;=H$427,H$427,IF(Tabell2[[#This Row],[Eldreandel]]&gt;=H$428,H$428,Tabell2[[#This Row],[Eldreandel]]))</f>
        <v>0.18876137712702809</v>
      </c>
      <c r="R337" s="32">
        <f>IF(Tabell2[[#This Row],[Sysselsettingsvekst10]]&lt;=I$427,I$427,IF(Tabell2[[#This Row],[Sysselsettingsvekst10]]&gt;=I$428,I$428,Tabell2[[#This Row],[Sysselsettingsvekst10]]))</f>
        <v>-2.2737927801218971E-2</v>
      </c>
      <c r="S337" s="32">
        <f>IF(Tabell2[[#This Row],[Yrkesaktivandel]]&lt;=J$427,J$427,IF(Tabell2[[#This Row],[Yrkesaktivandel]]&gt;=J$428,J$428,Tabell2[[#This Row],[Yrkesaktivandel]]))</f>
        <v>0.87283658225541993</v>
      </c>
      <c r="T337" s="67">
        <f>IF(Tabell2[[#This Row],[Inntekt]]&lt;=K$427,K$427,IF(Tabell2[[#This Row],[Inntekt]]&gt;=K$428,K$428,Tabell2[[#This Row],[Inntekt]]))</f>
        <v>370519.03049838828</v>
      </c>
      <c r="U337" s="10">
        <f>IF(Tabell2[[#This Row],[NIBR11-T]]&lt;=L$430,100,IF(Tabell2[[#This Row],[NIBR11-T]]&gt;=L$429,0,100*(L$429-Tabell2[[#This Row],[NIBR11-T]])/L$432))</f>
        <v>90</v>
      </c>
      <c r="V337" s="10">
        <f>(M$429-Tabell2[[#This Row],[ReisetidOslo-T]])*100/M$432</f>
        <v>17.97919212114482</v>
      </c>
      <c r="W337" s="10">
        <f>100-(N$429-Tabell2[[#This Row],[Beftettotal-T]])*100/N$432</f>
        <v>6.2357269194174449</v>
      </c>
      <c r="X337" s="10">
        <f>100-(O$429-Tabell2[[#This Row],[Befvekst10-T]])*100/O$432</f>
        <v>34.77191069630031</v>
      </c>
      <c r="Y337" s="10">
        <f>100-(P$429-Tabell2[[#This Row],[Kvinneandel-T]])*100/P$432</f>
        <v>26.946592597765942</v>
      </c>
      <c r="Z337" s="10">
        <f>(Q$429-Tabell2[[#This Row],[Eldreandel-T]])*100/Q$432</f>
        <v>36.96465124911515</v>
      </c>
      <c r="AA337" s="10">
        <f>100-(R$429-Tabell2[[#This Row],[Sysselsettingsvekst10-T]])*100/R$432</f>
        <v>29.408502951465593</v>
      </c>
      <c r="AB337" s="10">
        <f>100-(S$429-Tabell2[[#This Row],[Yrkesaktivandel-T]])*100/S$432</f>
        <v>58.787184541216874</v>
      </c>
      <c r="AC337" s="10">
        <f>100-(T$429-Tabell2[[#This Row],[Inntekt-T]])*100/T$432</f>
        <v>12.65026157768331</v>
      </c>
      <c r="AD33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40.656031142696925</v>
      </c>
    </row>
    <row r="338" spans="1:30" x14ac:dyDescent="0.25">
      <c r="A338" s="2" t="s">
        <v>285</v>
      </c>
      <c r="B338" s="2">
        <v>336</v>
      </c>
      <c r="C338">
        <f>'Rådata-K'!N337</f>
        <v>4</v>
      </c>
      <c r="D338" s="30">
        <f>'Rådata-K'!M337</f>
        <v>187.875</v>
      </c>
      <c r="E338" s="32">
        <f>'Rådata-K'!O337</f>
        <v>36.567570666819556</v>
      </c>
      <c r="F338" s="32">
        <f>'Rådata-K'!P337</f>
        <v>0.11951727921009336</v>
      </c>
      <c r="G338" s="32">
        <f>'Rådata-K'!Q337</f>
        <v>0.13621575006859785</v>
      </c>
      <c r="H338" s="32">
        <f>'Rådata-K'!R337</f>
        <v>0.1309043157853475</v>
      </c>
      <c r="I338" s="32">
        <f>'Rådata-K'!S337</f>
        <v>8.2299581330438798E-2</v>
      </c>
      <c r="J338" s="32">
        <f>'Rådata-K'!T337</f>
        <v>0.86083672283556067</v>
      </c>
      <c r="K338" s="67">
        <f>'Rådata-K'!L337</f>
        <v>434700</v>
      </c>
      <c r="L338" s="18">
        <f>Tabell2[[#This Row],[NIBR11]]</f>
        <v>4</v>
      </c>
      <c r="M338" s="32">
        <f>IF(Tabell2[[#This Row],[ReisetidOslo]]&lt;=D$427,D$427,IF(Tabell2[[#This Row],[ReisetidOslo]]&gt;=D$428,D$428,Tabell2[[#This Row],[ReisetidOslo]]))</f>
        <v>187.875</v>
      </c>
      <c r="N338" s="32">
        <f>IF(Tabell2[[#This Row],[Beftettotal]]&lt;=E$427,E$427,IF(Tabell2[[#This Row],[Beftettotal]]&gt;=E$428,E$428,Tabell2[[#This Row],[Beftettotal]]))</f>
        <v>36.567570666819556</v>
      </c>
      <c r="O338" s="32">
        <f>IF(Tabell2[[#This Row],[Befvekst10]]&lt;=F$427,F$427,IF(Tabell2[[#This Row],[Befvekst10]]&gt;=F$428,F$428,Tabell2[[#This Row],[Befvekst10]]))</f>
        <v>0.11951727921009336</v>
      </c>
      <c r="P338" s="32">
        <f>IF(Tabell2[[#This Row],[Kvinneandel]]&lt;=G$427,G$427,IF(Tabell2[[#This Row],[Kvinneandel]]&gt;=G$428,G$428,Tabell2[[#This Row],[Kvinneandel]]))</f>
        <v>0.12777681011054584</v>
      </c>
      <c r="Q338" s="32">
        <f>IF(Tabell2[[#This Row],[Eldreandel]]&lt;=H$427,H$427,IF(Tabell2[[#This Row],[Eldreandel]]&gt;=H$428,H$428,Tabell2[[#This Row],[Eldreandel]]))</f>
        <v>0.1309043157853475</v>
      </c>
      <c r="R338" s="32">
        <f>IF(Tabell2[[#This Row],[Sysselsettingsvekst10]]&lt;=I$427,I$427,IF(Tabell2[[#This Row],[Sysselsettingsvekst10]]&gt;=I$428,I$428,Tabell2[[#This Row],[Sysselsettingsvekst10]]))</f>
        <v>8.2299581330438798E-2</v>
      </c>
      <c r="S338" s="32">
        <f>IF(Tabell2[[#This Row],[Yrkesaktivandel]]&lt;=J$427,J$427,IF(Tabell2[[#This Row],[Yrkesaktivandel]]&gt;=J$428,J$428,Tabell2[[#This Row],[Yrkesaktivandel]]))</f>
        <v>0.86083672283556067</v>
      </c>
      <c r="T338" s="67">
        <f>IF(Tabell2[[#This Row],[Inntekt]]&lt;=K$427,K$427,IF(Tabell2[[#This Row],[Inntekt]]&gt;=K$428,K$428,Tabell2[[#This Row],[Inntekt]]))</f>
        <v>434700</v>
      </c>
      <c r="U338" s="10">
        <f>IF(Tabell2[[#This Row],[NIBR11-T]]&lt;=L$430,100,IF(Tabell2[[#This Row],[NIBR11-T]]&gt;=L$429,0,100*(L$429-Tabell2[[#This Row],[NIBR11-T]])/L$432))</f>
        <v>70</v>
      </c>
      <c r="V338" s="10">
        <f>(M$429-Tabell2[[#This Row],[ReisetidOslo-T]])*100/M$432</f>
        <v>42.590516965725236</v>
      </c>
      <c r="W338" s="10">
        <f>100-(N$429-Tabell2[[#This Row],[Beftettotal-T]])*100/N$432</f>
        <v>26.325788865601638</v>
      </c>
      <c r="X338" s="10">
        <f>100-(O$429-Tabell2[[#This Row],[Befvekst10-T]])*100/O$432</f>
        <v>74.97370480541538</v>
      </c>
      <c r="Y338" s="10">
        <f>100-(P$429-Tabell2[[#This Row],[Kvinneandel-T]])*100/P$432</f>
        <v>100</v>
      </c>
      <c r="Z338" s="10">
        <f>(Q$429-Tabell2[[#This Row],[Eldreandel-T]])*100/Q$432</f>
        <v>99.369987507296415</v>
      </c>
      <c r="AA338" s="10">
        <f>100-(R$429-Tabell2[[#This Row],[Sysselsettingsvekst10-T]])*100/R$432</f>
        <v>66.155259580399019</v>
      </c>
      <c r="AB338" s="10">
        <f>100-(S$429-Tabell2[[#This Row],[Yrkesaktivandel-T]])*100/S$432</f>
        <v>49.479567263457703</v>
      </c>
      <c r="AC338" s="10">
        <f>100-(T$429-Tabell2[[#This Row],[Inntekt-T]])*100/T$432</f>
        <v>83.938687104298566</v>
      </c>
      <c r="AD33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65.812222314396109</v>
      </c>
    </row>
    <row r="339" spans="1:30" x14ac:dyDescent="0.25">
      <c r="A339" s="2" t="s">
        <v>286</v>
      </c>
      <c r="B339" s="2">
        <v>337</v>
      </c>
      <c r="C339">
        <f>'Rådata-K'!N338</f>
        <v>5</v>
      </c>
      <c r="D339" s="30">
        <f>'Rådata-K'!M338</f>
        <v>259.3125</v>
      </c>
      <c r="E339" s="32">
        <f>'Rådata-K'!O338</f>
        <v>9.2712416523729253</v>
      </c>
      <c r="F339" s="32">
        <f>'Rådata-K'!P338</f>
        <v>2.4862029397300756E-2</v>
      </c>
      <c r="G339" s="32">
        <f>'Rådata-K'!Q338</f>
        <v>0.12038814246107912</v>
      </c>
      <c r="H339" s="32">
        <f>'Rådata-K'!R338</f>
        <v>0.16853273619108552</v>
      </c>
      <c r="I339" s="32">
        <f>'Rådata-K'!S338</f>
        <v>4.6124206708975546E-2</v>
      </c>
      <c r="J339" s="32">
        <f>'Rådata-K'!T338</f>
        <v>0.8076608877189797</v>
      </c>
      <c r="K339" s="67">
        <f>'Rådata-K'!L338</f>
        <v>399100</v>
      </c>
      <c r="L339" s="18">
        <f>Tabell2[[#This Row],[NIBR11]]</f>
        <v>5</v>
      </c>
      <c r="M339" s="32">
        <f>IF(Tabell2[[#This Row],[ReisetidOslo]]&lt;=D$427,D$427,IF(Tabell2[[#This Row],[ReisetidOslo]]&gt;=D$428,D$428,Tabell2[[#This Row],[ReisetidOslo]]))</f>
        <v>259.3125</v>
      </c>
      <c r="N339" s="32">
        <f>IF(Tabell2[[#This Row],[Beftettotal]]&lt;=E$427,E$427,IF(Tabell2[[#This Row],[Beftettotal]]&gt;=E$428,E$428,Tabell2[[#This Row],[Beftettotal]]))</f>
        <v>9.2712416523729253</v>
      </c>
      <c r="O339" s="32">
        <f>IF(Tabell2[[#This Row],[Befvekst10]]&lt;=F$427,F$427,IF(Tabell2[[#This Row],[Befvekst10]]&gt;=F$428,F$428,Tabell2[[#This Row],[Befvekst10]]))</f>
        <v>2.4862029397300756E-2</v>
      </c>
      <c r="P339" s="32">
        <f>IF(Tabell2[[#This Row],[Kvinneandel]]&lt;=G$427,G$427,IF(Tabell2[[#This Row],[Kvinneandel]]&gt;=G$428,G$428,Tabell2[[#This Row],[Kvinneandel]]))</f>
        <v>0.12038814246107912</v>
      </c>
      <c r="Q339" s="32">
        <f>IF(Tabell2[[#This Row],[Eldreandel]]&lt;=H$427,H$427,IF(Tabell2[[#This Row],[Eldreandel]]&gt;=H$428,H$428,Tabell2[[#This Row],[Eldreandel]]))</f>
        <v>0.16853273619108552</v>
      </c>
      <c r="R339" s="32">
        <f>IF(Tabell2[[#This Row],[Sysselsettingsvekst10]]&lt;=I$427,I$427,IF(Tabell2[[#This Row],[Sysselsettingsvekst10]]&gt;=I$428,I$428,Tabell2[[#This Row],[Sysselsettingsvekst10]]))</f>
        <v>4.6124206708975546E-2</v>
      </c>
      <c r="S339" s="32">
        <f>IF(Tabell2[[#This Row],[Yrkesaktivandel]]&lt;=J$427,J$427,IF(Tabell2[[#This Row],[Yrkesaktivandel]]&gt;=J$428,J$428,Tabell2[[#This Row],[Yrkesaktivandel]]))</f>
        <v>0.8076608877189797</v>
      </c>
      <c r="T339" s="67">
        <f>IF(Tabell2[[#This Row],[Inntekt]]&lt;=K$427,K$427,IF(Tabell2[[#This Row],[Inntekt]]&gt;=K$428,K$428,Tabell2[[#This Row],[Inntekt]]))</f>
        <v>399100</v>
      </c>
      <c r="U339" s="10">
        <f>IF(Tabell2[[#This Row],[NIBR11-T]]&lt;=L$430,100,IF(Tabell2[[#This Row],[NIBR11-T]]&gt;=L$429,0,100*(L$429-Tabell2[[#This Row],[NIBR11-T]])/L$432))</f>
        <v>60</v>
      </c>
      <c r="V339" s="10">
        <f>(M$429-Tabell2[[#This Row],[ReisetidOslo-T]])*100/M$432</f>
        <v>11.812897384373576</v>
      </c>
      <c r="W339" s="10">
        <f>100-(N$429-Tabell2[[#This Row],[Beftettotal-T]])*100/N$432</f>
        <v>5.9816748595496989</v>
      </c>
      <c r="X339" s="10">
        <f>100-(O$429-Tabell2[[#This Row],[Befvekst10-T]])*100/O$432</f>
        <v>34.198608014469485</v>
      </c>
      <c r="Y339" s="10">
        <f>100-(P$429-Tabell2[[#This Row],[Kvinneandel-T]])*100/P$432</f>
        <v>80.484288546809822</v>
      </c>
      <c r="Z339" s="10">
        <f>(Q$429-Tabell2[[#This Row],[Eldreandel-T]])*100/Q$432</f>
        <v>58.783511564166851</v>
      </c>
      <c r="AA339" s="10">
        <f>100-(R$429-Tabell2[[#This Row],[Sysselsettingsvekst10-T]])*100/R$432</f>
        <v>53.499516901760501</v>
      </c>
      <c r="AB339" s="10">
        <f>100-(S$429-Tabell2[[#This Row],[Yrkesaktivandel-T]])*100/S$432</f>
        <v>8.234057264294151</v>
      </c>
      <c r="AC339" s="10">
        <f>100-(T$429-Tabell2[[#This Row],[Inntekt-T]])*100/T$432</f>
        <v>44.396312340331001</v>
      </c>
      <c r="AD33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38.195557483473628</v>
      </c>
    </row>
    <row r="340" spans="1:30" x14ac:dyDescent="0.25">
      <c r="A340" s="2" t="s">
        <v>287</v>
      </c>
      <c r="B340" s="2">
        <v>338</v>
      </c>
      <c r="C340">
        <f>'Rådata-K'!N339</f>
        <v>11</v>
      </c>
      <c r="D340" s="30">
        <f>'Rådata-K'!M339</f>
        <v>306.8125</v>
      </c>
      <c r="E340" s="32">
        <f>'Rådata-K'!O339</f>
        <v>1.1651176586909235</v>
      </c>
      <c r="F340" s="32">
        <f>'Rådata-K'!P339</f>
        <v>-0.12943262411347523</v>
      </c>
      <c r="G340" s="32">
        <f>'Rådata-K'!Q339</f>
        <v>8.4181941615750169E-2</v>
      </c>
      <c r="H340" s="32">
        <f>'Rådata-K'!R339</f>
        <v>0.23896809232858113</v>
      </c>
      <c r="I340" s="32">
        <f>'Rådata-K'!S339</f>
        <v>-0.27328244274809166</v>
      </c>
      <c r="J340" s="32">
        <f>'Rådata-K'!T339</f>
        <v>0.85333333333333339</v>
      </c>
      <c r="K340" s="67">
        <f>'Rådata-K'!L339</f>
        <v>349000</v>
      </c>
      <c r="L340" s="18">
        <f>Tabell2[[#This Row],[NIBR11]]</f>
        <v>11</v>
      </c>
      <c r="M340" s="32">
        <f>IF(Tabell2[[#This Row],[ReisetidOslo]]&lt;=D$427,D$427,IF(Tabell2[[#This Row],[ReisetidOslo]]&gt;=D$428,D$428,Tabell2[[#This Row],[ReisetidOslo]]))</f>
        <v>286.73125000000005</v>
      </c>
      <c r="N340" s="32">
        <f>IF(Tabell2[[#This Row],[Beftettotal]]&lt;=E$427,E$427,IF(Tabell2[[#This Row],[Beftettotal]]&gt;=E$428,E$428,Tabell2[[#This Row],[Beftettotal]]))</f>
        <v>1.2454428893921135</v>
      </c>
      <c r="O340" s="32">
        <f>IF(Tabell2[[#This Row],[Befvekst10]]&lt;=F$427,F$427,IF(Tabell2[[#This Row],[Befvekst10]]&gt;=F$428,F$428,Tabell2[[#This Row],[Befvekst10]]))</f>
        <v>-5.4526569027269343E-2</v>
      </c>
      <c r="P340" s="32">
        <f>IF(Tabell2[[#This Row],[Kvinneandel]]&lt;=G$427,G$427,IF(Tabell2[[#This Row],[Kvinneandel]]&gt;=G$428,G$428,Tabell2[[#This Row],[Kvinneandel]]))</f>
        <v>8.9916711250255951E-2</v>
      </c>
      <c r="Q340" s="32">
        <f>IF(Tabell2[[#This Row],[Eldreandel]]&lt;=H$427,H$427,IF(Tabell2[[#This Row],[Eldreandel]]&gt;=H$428,H$428,Tabell2[[#This Row],[Eldreandel]]))</f>
        <v>0.22303194152148736</v>
      </c>
      <c r="R340" s="32">
        <f>IF(Tabell2[[#This Row],[Sysselsettingsvekst10]]&lt;=I$427,I$427,IF(Tabell2[[#This Row],[Sysselsettingsvekst10]]&gt;=I$428,I$428,Tabell2[[#This Row],[Sysselsettingsvekst10]]))</f>
        <v>-0.10679965679965678</v>
      </c>
      <c r="S340" s="32">
        <f>IF(Tabell2[[#This Row],[Yrkesaktivandel]]&lt;=J$427,J$427,IF(Tabell2[[#This Row],[Yrkesaktivandel]]&gt;=J$428,J$428,Tabell2[[#This Row],[Yrkesaktivandel]]))</f>
        <v>0.85333333333333339</v>
      </c>
      <c r="T340" s="67">
        <f>IF(Tabell2[[#This Row],[Inntekt]]&lt;=K$427,K$427,IF(Tabell2[[#This Row],[Inntekt]]&gt;=K$428,K$428,Tabell2[[#This Row],[Inntekt]]))</f>
        <v>359130</v>
      </c>
      <c r="U340" s="10">
        <f>IF(Tabell2[[#This Row],[NIBR11-T]]&lt;=L$430,100,IF(Tabell2[[#This Row],[NIBR11-T]]&gt;=L$429,0,100*(L$429-Tabell2[[#This Row],[NIBR11-T]])/L$432))</f>
        <v>0</v>
      </c>
      <c r="V340" s="10">
        <f>(M$429-Tabell2[[#This Row],[ReisetidOslo-T]])*100/M$432</f>
        <v>0</v>
      </c>
      <c r="W340" s="10">
        <f>100-(N$429-Tabell2[[#This Row],[Beftettotal-T]])*100/N$432</f>
        <v>0</v>
      </c>
      <c r="X340" s="10">
        <f>100-(O$429-Tabell2[[#This Row],[Befvekst10-T]])*100/O$432</f>
        <v>0</v>
      </c>
      <c r="Y340" s="10">
        <f>100-(P$429-Tabell2[[#This Row],[Kvinneandel-T]])*100/P$432</f>
        <v>0</v>
      </c>
      <c r="Z340" s="10">
        <f>(Q$429-Tabell2[[#This Row],[Eldreandel-T]])*100/Q$432</f>
        <v>0</v>
      </c>
      <c r="AA340" s="10">
        <f>100-(R$429-Tabell2[[#This Row],[Sysselsettingsvekst10-T]])*100/R$432</f>
        <v>0</v>
      </c>
      <c r="AB340" s="10">
        <f>100-(S$429-Tabell2[[#This Row],[Yrkesaktivandel-T]])*100/S$432</f>
        <v>43.659609268190906</v>
      </c>
      <c r="AC340" s="10">
        <f>100-(T$429-Tabell2[[#This Row],[Inntekt-T]])*100/T$432</f>
        <v>0</v>
      </c>
      <c r="AD34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4.3659609268190911</v>
      </c>
    </row>
    <row r="341" spans="1:30" x14ac:dyDescent="0.25">
      <c r="A341" s="2" t="s">
        <v>288</v>
      </c>
      <c r="B341" s="2">
        <v>339</v>
      </c>
      <c r="C341">
        <f>'Rådata-K'!N340</f>
        <v>7</v>
      </c>
      <c r="D341" s="30">
        <f>'Rådata-K'!M340</f>
        <v>234.75</v>
      </c>
      <c r="E341" s="32">
        <f>'Rådata-K'!O340</f>
        <v>10.483457953497901</v>
      </c>
      <c r="F341" s="32">
        <f>'Rådata-K'!P340</f>
        <v>0</v>
      </c>
      <c r="G341" s="32">
        <f>'Rådata-K'!Q340</f>
        <v>9.8680996580361502E-2</v>
      </c>
      <c r="H341" s="32">
        <f>'Rådata-K'!R340</f>
        <v>0.19345383488031265</v>
      </c>
      <c r="I341" s="32">
        <f>'Rådata-K'!S340</f>
        <v>-5.4871220604703286E-2</v>
      </c>
      <c r="J341" s="32">
        <f>'Rådata-K'!T340</f>
        <v>0.86625332152347212</v>
      </c>
      <c r="K341" s="67">
        <f>'Rådata-K'!L340</f>
        <v>368400</v>
      </c>
      <c r="L341" s="18">
        <f>Tabell2[[#This Row],[NIBR11]]</f>
        <v>7</v>
      </c>
      <c r="M341" s="32">
        <f>IF(Tabell2[[#This Row],[ReisetidOslo]]&lt;=D$427,D$427,IF(Tabell2[[#This Row],[ReisetidOslo]]&gt;=D$428,D$428,Tabell2[[#This Row],[ReisetidOslo]]))</f>
        <v>234.75</v>
      </c>
      <c r="N341" s="32">
        <f>IF(Tabell2[[#This Row],[Beftettotal]]&lt;=E$427,E$427,IF(Tabell2[[#This Row],[Beftettotal]]&gt;=E$428,E$428,Tabell2[[#This Row],[Beftettotal]]))</f>
        <v>10.483457953497901</v>
      </c>
      <c r="O341" s="32">
        <f>IF(Tabell2[[#This Row],[Befvekst10]]&lt;=F$427,F$427,IF(Tabell2[[#This Row],[Befvekst10]]&gt;=F$428,F$428,Tabell2[[#This Row],[Befvekst10]]))</f>
        <v>0</v>
      </c>
      <c r="P341" s="32">
        <f>IF(Tabell2[[#This Row],[Kvinneandel]]&lt;=G$427,G$427,IF(Tabell2[[#This Row],[Kvinneandel]]&gt;=G$428,G$428,Tabell2[[#This Row],[Kvinneandel]]))</f>
        <v>9.8680996580361502E-2</v>
      </c>
      <c r="Q341" s="32">
        <f>IF(Tabell2[[#This Row],[Eldreandel]]&lt;=H$427,H$427,IF(Tabell2[[#This Row],[Eldreandel]]&gt;=H$428,H$428,Tabell2[[#This Row],[Eldreandel]]))</f>
        <v>0.19345383488031265</v>
      </c>
      <c r="R341" s="32">
        <f>IF(Tabell2[[#This Row],[Sysselsettingsvekst10]]&lt;=I$427,I$427,IF(Tabell2[[#This Row],[Sysselsettingsvekst10]]&gt;=I$428,I$428,Tabell2[[#This Row],[Sysselsettingsvekst10]]))</f>
        <v>-5.4871220604703286E-2</v>
      </c>
      <c r="S341" s="32">
        <f>IF(Tabell2[[#This Row],[Yrkesaktivandel]]&lt;=J$427,J$427,IF(Tabell2[[#This Row],[Yrkesaktivandel]]&gt;=J$428,J$428,Tabell2[[#This Row],[Yrkesaktivandel]]))</f>
        <v>0.86625332152347212</v>
      </c>
      <c r="T341" s="67">
        <f>IF(Tabell2[[#This Row],[Inntekt]]&lt;=K$427,K$427,IF(Tabell2[[#This Row],[Inntekt]]&gt;=K$428,K$428,Tabell2[[#This Row],[Inntekt]]))</f>
        <v>368400</v>
      </c>
      <c r="U341" s="10">
        <f>IF(Tabell2[[#This Row],[NIBR11-T]]&lt;=L$430,100,IF(Tabell2[[#This Row],[NIBR11-T]]&gt;=L$429,0,100*(L$429-Tabell2[[#This Row],[NIBR11-T]])/L$432))</f>
        <v>40</v>
      </c>
      <c r="V341" s="10">
        <f>(M$429-Tabell2[[#This Row],[ReisetidOslo-T]])*100/M$432</f>
        <v>22.395228526518114</v>
      </c>
      <c r="W341" s="10">
        <f>100-(N$429-Tabell2[[#This Row],[Beftettotal-T]])*100/N$432</f>
        <v>6.8851467739243049</v>
      </c>
      <c r="X341" s="10">
        <f>100-(O$429-Tabell2[[#This Row],[Befvekst10-T]])*100/O$432</f>
        <v>23.488672146155153</v>
      </c>
      <c r="Y341" s="10">
        <f>100-(P$429-Tabell2[[#This Row],[Kvinneandel-T]])*100/P$432</f>
        <v>23.149134825155201</v>
      </c>
      <c r="Z341" s="10">
        <f>(Q$429-Tabell2[[#This Row],[Eldreandel-T]])*100/Q$432</f>
        <v>31.903308740865896</v>
      </c>
      <c r="AA341" s="10">
        <f>100-(R$429-Tabell2[[#This Row],[Sysselsettingsvekst10-T]])*100/R$432</f>
        <v>18.166858894047522</v>
      </c>
      <c r="AB341" s="10">
        <f>100-(S$429-Tabell2[[#This Row],[Yrkesaktivandel-T]])*100/S$432</f>
        <v>53.68091877686431</v>
      </c>
      <c r="AC341" s="10">
        <f>100-(T$429-Tabell2[[#This Row],[Inntekt-T]])*100/T$432</f>
        <v>10.296567810729755</v>
      </c>
      <c r="AD34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26.592828685740489</v>
      </c>
    </row>
    <row r="342" spans="1:30" x14ac:dyDescent="0.25">
      <c r="A342" s="2" t="s">
        <v>289</v>
      </c>
      <c r="B342" s="2">
        <v>340</v>
      </c>
      <c r="C342">
        <f>'Rådata-K'!N341</f>
        <v>7</v>
      </c>
      <c r="D342" s="30">
        <f>'Rådata-K'!M341</f>
        <v>201.375</v>
      </c>
      <c r="E342" s="32">
        <f>'Rådata-K'!O341</f>
        <v>7.6029203776614036</v>
      </c>
      <c r="F342" s="32">
        <f>'Rådata-K'!P341</f>
        <v>5.4054054054053946E-2</v>
      </c>
      <c r="G342" s="32">
        <f>'Rådata-K'!Q341</f>
        <v>0.11488185017596782</v>
      </c>
      <c r="H342" s="32">
        <f>'Rådata-K'!R341</f>
        <v>0.15196078431372548</v>
      </c>
      <c r="I342" s="32">
        <f>'Rådata-K'!S341</f>
        <v>4.037005887300249E-2</v>
      </c>
      <c r="J342" s="32">
        <f>'Rådata-K'!T341</f>
        <v>0.83851884312007008</v>
      </c>
      <c r="K342" s="67">
        <f>'Rådata-K'!L341</f>
        <v>399800</v>
      </c>
      <c r="L342" s="18">
        <f>Tabell2[[#This Row],[NIBR11]]</f>
        <v>7</v>
      </c>
      <c r="M342" s="32">
        <f>IF(Tabell2[[#This Row],[ReisetidOslo]]&lt;=D$427,D$427,IF(Tabell2[[#This Row],[ReisetidOslo]]&gt;=D$428,D$428,Tabell2[[#This Row],[ReisetidOslo]]))</f>
        <v>201.375</v>
      </c>
      <c r="N342" s="32">
        <f>IF(Tabell2[[#This Row],[Beftettotal]]&lt;=E$427,E$427,IF(Tabell2[[#This Row],[Beftettotal]]&gt;=E$428,E$428,Tabell2[[#This Row],[Beftettotal]]))</f>
        <v>7.6029203776614036</v>
      </c>
      <c r="O342" s="32">
        <f>IF(Tabell2[[#This Row],[Befvekst10]]&lt;=F$427,F$427,IF(Tabell2[[#This Row],[Befvekst10]]&gt;=F$428,F$428,Tabell2[[#This Row],[Befvekst10]]))</f>
        <v>5.4054054054053946E-2</v>
      </c>
      <c r="P342" s="32">
        <f>IF(Tabell2[[#This Row],[Kvinneandel]]&lt;=G$427,G$427,IF(Tabell2[[#This Row],[Kvinneandel]]&gt;=G$428,G$428,Tabell2[[#This Row],[Kvinneandel]]))</f>
        <v>0.11488185017596782</v>
      </c>
      <c r="Q342" s="32">
        <f>IF(Tabell2[[#This Row],[Eldreandel]]&lt;=H$427,H$427,IF(Tabell2[[#This Row],[Eldreandel]]&gt;=H$428,H$428,Tabell2[[#This Row],[Eldreandel]]))</f>
        <v>0.15196078431372548</v>
      </c>
      <c r="R342" s="32">
        <f>IF(Tabell2[[#This Row],[Sysselsettingsvekst10]]&lt;=I$427,I$427,IF(Tabell2[[#This Row],[Sysselsettingsvekst10]]&gt;=I$428,I$428,Tabell2[[#This Row],[Sysselsettingsvekst10]]))</f>
        <v>4.037005887300249E-2</v>
      </c>
      <c r="S342" s="32">
        <f>IF(Tabell2[[#This Row],[Yrkesaktivandel]]&lt;=J$427,J$427,IF(Tabell2[[#This Row],[Yrkesaktivandel]]&gt;=J$428,J$428,Tabell2[[#This Row],[Yrkesaktivandel]]))</f>
        <v>0.83851884312007008</v>
      </c>
      <c r="T342" s="67">
        <f>IF(Tabell2[[#This Row],[Inntekt]]&lt;=K$427,K$427,IF(Tabell2[[#This Row],[Inntekt]]&gt;=K$428,K$428,Tabell2[[#This Row],[Inntekt]]))</f>
        <v>399800</v>
      </c>
      <c r="U342" s="10">
        <f>IF(Tabell2[[#This Row],[NIBR11-T]]&lt;=L$430,100,IF(Tabell2[[#This Row],[NIBR11-T]]&gt;=L$429,0,100*(L$429-Tabell2[[#This Row],[NIBR11-T]])/L$432))</f>
        <v>40</v>
      </c>
      <c r="V342" s="10">
        <f>(M$429-Tabell2[[#This Row],[ReisetidOslo-T]])*100/M$432</f>
        <v>36.774273895233584</v>
      </c>
      <c r="W342" s="10">
        <f>100-(N$429-Tabell2[[#This Row],[Beftettotal-T]])*100/N$432</f>
        <v>4.7382652349994601</v>
      </c>
      <c r="X342" s="10">
        <f>100-(O$429-Tabell2[[#This Row],[Befvekst10-T]])*100/O$432</f>
        <v>46.773796746810888</v>
      </c>
      <c r="Y342" s="10">
        <f>100-(P$429-Tabell2[[#This Row],[Kvinneandel-T]])*100/P$432</f>
        <v>65.94050115356913</v>
      </c>
      <c r="Z342" s="10">
        <f>(Q$429-Tabell2[[#This Row],[Eldreandel-T]])*100/Q$432</f>
        <v>76.658222193758121</v>
      </c>
      <c r="AA342" s="10">
        <f>100-(R$429-Tabell2[[#This Row],[Sysselsettingsvekst10-T]])*100/R$432</f>
        <v>51.486462023713344</v>
      </c>
      <c r="AB342" s="10">
        <f>100-(S$429-Tabell2[[#This Row],[Yrkesaktivandel-T]])*100/S$432</f>
        <v>32.168840897857692</v>
      </c>
      <c r="AC342" s="10">
        <f>100-(T$429-Tabell2[[#This Row],[Inntekt-T]])*100/T$432</f>
        <v>45.173830945240475</v>
      </c>
      <c r="AD34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41.518862816433007</v>
      </c>
    </row>
    <row r="343" spans="1:30" x14ac:dyDescent="0.25">
      <c r="A343" s="2" t="s">
        <v>290</v>
      </c>
      <c r="B343" s="2">
        <v>341</v>
      </c>
      <c r="C343">
        <f>'Rådata-K'!N342</f>
        <v>9</v>
      </c>
      <c r="D343" s="30">
        <f>'Rådata-K'!M342</f>
        <v>284.625</v>
      </c>
      <c r="E343" s="32">
        <f>'Rådata-K'!O342</f>
        <v>7.4883184659263309</v>
      </c>
      <c r="F343" s="32">
        <f>'Rådata-K'!P342</f>
        <v>-5.0038491147036179E-2</v>
      </c>
      <c r="G343" s="32">
        <f>'Rådata-K'!Q342</f>
        <v>8.9141004862236625E-2</v>
      </c>
      <c r="H343" s="32">
        <f>'Rådata-K'!R342</f>
        <v>0.22690437601296595</v>
      </c>
      <c r="I343" s="32">
        <f>'Rådata-K'!S342</f>
        <v>-9.61145194274029E-2</v>
      </c>
      <c r="J343" s="32">
        <f>'Rådata-K'!T342</f>
        <v>0.8534743202416919</v>
      </c>
      <c r="K343" s="67">
        <f>'Rådata-K'!L342</f>
        <v>360800</v>
      </c>
      <c r="L343" s="18">
        <f>Tabell2[[#This Row],[NIBR11]]</f>
        <v>9</v>
      </c>
      <c r="M343" s="32">
        <f>IF(Tabell2[[#This Row],[ReisetidOslo]]&lt;=D$427,D$427,IF(Tabell2[[#This Row],[ReisetidOslo]]&gt;=D$428,D$428,Tabell2[[#This Row],[ReisetidOslo]]))</f>
        <v>284.625</v>
      </c>
      <c r="N343" s="32">
        <f>IF(Tabell2[[#This Row],[Beftettotal]]&lt;=E$427,E$427,IF(Tabell2[[#This Row],[Beftettotal]]&gt;=E$428,E$428,Tabell2[[#This Row],[Beftettotal]]))</f>
        <v>7.4883184659263309</v>
      </c>
      <c r="O343" s="32">
        <f>IF(Tabell2[[#This Row],[Befvekst10]]&lt;=F$427,F$427,IF(Tabell2[[#This Row],[Befvekst10]]&gt;=F$428,F$428,Tabell2[[#This Row],[Befvekst10]]))</f>
        <v>-5.0038491147036179E-2</v>
      </c>
      <c r="P343" s="32">
        <f>IF(Tabell2[[#This Row],[Kvinneandel]]&lt;=G$427,G$427,IF(Tabell2[[#This Row],[Kvinneandel]]&gt;=G$428,G$428,Tabell2[[#This Row],[Kvinneandel]]))</f>
        <v>8.9916711250255951E-2</v>
      </c>
      <c r="Q343" s="32">
        <f>IF(Tabell2[[#This Row],[Eldreandel]]&lt;=H$427,H$427,IF(Tabell2[[#This Row],[Eldreandel]]&gt;=H$428,H$428,Tabell2[[#This Row],[Eldreandel]]))</f>
        <v>0.22303194152148736</v>
      </c>
      <c r="R343" s="32">
        <f>IF(Tabell2[[#This Row],[Sysselsettingsvekst10]]&lt;=I$427,I$427,IF(Tabell2[[#This Row],[Sysselsettingsvekst10]]&gt;=I$428,I$428,Tabell2[[#This Row],[Sysselsettingsvekst10]]))</f>
        <v>-9.61145194274029E-2</v>
      </c>
      <c r="S343" s="32">
        <f>IF(Tabell2[[#This Row],[Yrkesaktivandel]]&lt;=J$427,J$427,IF(Tabell2[[#This Row],[Yrkesaktivandel]]&gt;=J$428,J$428,Tabell2[[#This Row],[Yrkesaktivandel]]))</f>
        <v>0.8534743202416919</v>
      </c>
      <c r="T343" s="67">
        <f>IF(Tabell2[[#This Row],[Inntekt]]&lt;=K$427,K$427,IF(Tabell2[[#This Row],[Inntekt]]&gt;=K$428,K$428,Tabell2[[#This Row],[Inntekt]]))</f>
        <v>360800</v>
      </c>
      <c r="U343" s="10">
        <f>IF(Tabell2[[#This Row],[NIBR11-T]]&lt;=L$430,100,IF(Tabell2[[#This Row],[NIBR11-T]]&gt;=L$429,0,100*(L$429-Tabell2[[#This Row],[NIBR11-T]])/L$432))</f>
        <v>20</v>
      </c>
      <c r="V343" s="10">
        <f>(M$429-Tabell2[[#This Row],[ReisetidOslo-T]])*100/M$432</f>
        <v>0.90744162720172661</v>
      </c>
      <c r="W343" s="10">
        <f>100-(N$429-Tabell2[[#This Row],[Beftettotal-T]])*100/N$432</f>
        <v>4.6528517584687421</v>
      </c>
      <c r="X343" s="10">
        <f>100-(O$429-Tabell2[[#This Row],[Befvekst10-T]])*100/O$432</f>
        <v>1.9333508741855212</v>
      </c>
      <c r="Y343" s="10">
        <f>100-(P$429-Tabell2[[#This Row],[Kvinneandel-T]])*100/P$432</f>
        <v>0</v>
      </c>
      <c r="Z343" s="10">
        <f>(Q$429-Tabell2[[#This Row],[Eldreandel-T]])*100/Q$432</f>
        <v>0</v>
      </c>
      <c r="AA343" s="10">
        <f>100-(R$429-Tabell2[[#This Row],[Sysselsettingsvekst10-T]])*100/R$432</f>
        <v>3.7381326519537055</v>
      </c>
      <c r="AB343" s="10">
        <f>100-(S$429-Tabell2[[#This Row],[Yrkesaktivandel-T]])*100/S$432</f>
        <v>43.768964897974676</v>
      </c>
      <c r="AC343" s="10">
        <f>100-(T$429-Tabell2[[#This Row],[Inntekt-T]])*100/T$432</f>
        <v>1.8549372431411797</v>
      </c>
      <c r="AD34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9.8789029927111081</v>
      </c>
    </row>
    <row r="344" spans="1:30" x14ac:dyDescent="0.25">
      <c r="A344" s="2" t="s">
        <v>291</v>
      </c>
      <c r="B344" s="2">
        <v>342</v>
      </c>
      <c r="C344">
        <f>'Rådata-K'!N343</f>
        <v>7</v>
      </c>
      <c r="D344" s="30">
        <f>'Rådata-K'!M343</f>
        <v>252.8125</v>
      </c>
      <c r="E344" s="32">
        <f>'Rådata-K'!O343</f>
        <v>0.97977361291519771</v>
      </c>
      <c r="F344" s="32">
        <f>'Rådata-K'!P343</f>
        <v>4.7619047619047672E-2</v>
      </c>
      <c r="G344" s="32">
        <f>'Rådata-K'!Q343</f>
        <v>8.9015151515151519E-2</v>
      </c>
      <c r="H344" s="32">
        <f>'Rådata-K'!R343</f>
        <v>0.20265151515151514</v>
      </c>
      <c r="I344" s="32">
        <f>'Rådata-K'!S343</f>
        <v>2.659574468085113E-2</v>
      </c>
      <c r="J344" s="32">
        <f>'Rådata-K'!T343</f>
        <v>0.8422939068100358</v>
      </c>
      <c r="K344" s="67">
        <f>'Rådata-K'!L343</f>
        <v>360800</v>
      </c>
      <c r="L344" s="18">
        <f>Tabell2[[#This Row],[NIBR11]]</f>
        <v>7</v>
      </c>
      <c r="M344" s="32">
        <f>IF(Tabell2[[#This Row],[ReisetidOslo]]&lt;=D$427,D$427,IF(Tabell2[[#This Row],[ReisetidOslo]]&gt;=D$428,D$428,Tabell2[[#This Row],[ReisetidOslo]]))</f>
        <v>252.8125</v>
      </c>
      <c r="N344" s="32">
        <f>IF(Tabell2[[#This Row],[Beftettotal]]&lt;=E$427,E$427,IF(Tabell2[[#This Row],[Beftettotal]]&gt;=E$428,E$428,Tabell2[[#This Row],[Beftettotal]]))</f>
        <v>1.2454428893921135</v>
      </c>
      <c r="O344" s="32">
        <f>IF(Tabell2[[#This Row],[Befvekst10]]&lt;=F$427,F$427,IF(Tabell2[[#This Row],[Befvekst10]]&gt;=F$428,F$428,Tabell2[[#This Row],[Befvekst10]]))</f>
        <v>4.7619047619047672E-2</v>
      </c>
      <c r="P344" s="32">
        <f>IF(Tabell2[[#This Row],[Kvinneandel]]&lt;=G$427,G$427,IF(Tabell2[[#This Row],[Kvinneandel]]&gt;=G$428,G$428,Tabell2[[#This Row],[Kvinneandel]]))</f>
        <v>8.9916711250255951E-2</v>
      </c>
      <c r="Q344" s="32">
        <f>IF(Tabell2[[#This Row],[Eldreandel]]&lt;=H$427,H$427,IF(Tabell2[[#This Row],[Eldreandel]]&gt;=H$428,H$428,Tabell2[[#This Row],[Eldreandel]]))</f>
        <v>0.20265151515151514</v>
      </c>
      <c r="R344" s="32">
        <f>IF(Tabell2[[#This Row],[Sysselsettingsvekst10]]&lt;=I$427,I$427,IF(Tabell2[[#This Row],[Sysselsettingsvekst10]]&gt;=I$428,I$428,Tabell2[[#This Row],[Sysselsettingsvekst10]]))</f>
        <v>2.659574468085113E-2</v>
      </c>
      <c r="S344" s="32">
        <f>IF(Tabell2[[#This Row],[Yrkesaktivandel]]&lt;=J$427,J$427,IF(Tabell2[[#This Row],[Yrkesaktivandel]]&gt;=J$428,J$428,Tabell2[[#This Row],[Yrkesaktivandel]]))</f>
        <v>0.8422939068100358</v>
      </c>
      <c r="T344" s="67">
        <f>IF(Tabell2[[#This Row],[Inntekt]]&lt;=K$427,K$427,IF(Tabell2[[#This Row],[Inntekt]]&gt;=K$428,K$428,Tabell2[[#This Row],[Inntekt]]))</f>
        <v>360800</v>
      </c>
      <c r="U344" s="10">
        <f>IF(Tabell2[[#This Row],[NIBR11-T]]&lt;=L$430,100,IF(Tabell2[[#This Row],[NIBR11-T]]&gt;=L$429,0,100*(L$429-Tabell2[[#This Row],[NIBR11-T]])/L$432))</f>
        <v>40</v>
      </c>
      <c r="V344" s="10">
        <f>(M$429-Tabell2[[#This Row],[ReisetidOslo-T]])*100/M$432</f>
        <v>14.613310714610298</v>
      </c>
      <c r="W344" s="10">
        <f>100-(N$429-Tabell2[[#This Row],[Beftettotal-T]])*100/N$432</f>
        <v>0</v>
      </c>
      <c r="X344" s="10">
        <f>100-(O$429-Tabell2[[#This Row],[Befvekst10-T]])*100/O$432</f>
        <v>44.001758103875751</v>
      </c>
      <c r="Y344" s="10">
        <f>100-(P$429-Tabell2[[#This Row],[Kvinneandel-T]])*100/P$432</f>
        <v>0</v>
      </c>
      <c r="Z344" s="10">
        <f>(Q$429-Tabell2[[#This Row],[Eldreandel-T]])*100/Q$432</f>
        <v>21.982577946574256</v>
      </c>
      <c r="AA344" s="10">
        <f>100-(R$429-Tabell2[[#This Row],[Sysselsettingsvekst10-T]])*100/R$432</f>
        <v>46.667598976275606</v>
      </c>
      <c r="AB344" s="10">
        <f>100-(S$429-Tabell2[[#This Row],[Yrkesaktivandel-T]])*100/S$432</f>
        <v>35.096945869422299</v>
      </c>
      <c r="AC344" s="10">
        <f>100-(T$429-Tabell2[[#This Row],[Inntekt-T]])*100/T$432</f>
        <v>1.8549372431411797</v>
      </c>
      <c r="AD34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27.722759798448802</v>
      </c>
    </row>
    <row r="345" spans="1:30" x14ac:dyDescent="0.25">
      <c r="A345" s="2" t="s">
        <v>292</v>
      </c>
      <c r="B345" s="2">
        <v>343</v>
      </c>
      <c r="C345">
        <f>'Rådata-K'!N344</f>
        <v>9</v>
      </c>
      <c r="D345" s="30">
        <f>'Rådata-K'!M344</f>
        <v>251.125</v>
      </c>
      <c r="E345" s="32">
        <f>'Rådata-K'!O344</f>
        <v>27.7639751552795</v>
      </c>
      <c r="F345" s="32">
        <f>'Rådata-K'!P344</f>
        <v>6.3020214030915511E-2</v>
      </c>
      <c r="G345" s="32">
        <f>'Rådata-K'!Q344</f>
        <v>0.10961968680089486</v>
      </c>
      <c r="H345" s="32">
        <f>'Rådata-K'!R344</f>
        <v>0.18400447427293065</v>
      </c>
      <c r="I345" s="32">
        <f>'Rådata-K'!S344</f>
        <v>1.2077294685990392E-2</v>
      </c>
      <c r="J345" s="32">
        <f>'Rådata-K'!T344</f>
        <v>0.79729729729729726</v>
      </c>
      <c r="K345" s="67">
        <f>'Rådata-K'!L344</f>
        <v>379500</v>
      </c>
      <c r="L345" s="18">
        <f>Tabell2[[#This Row],[NIBR11]]</f>
        <v>9</v>
      </c>
      <c r="M345" s="32">
        <f>IF(Tabell2[[#This Row],[ReisetidOslo]]&lt;=D$427,D$427,IF(Tabell2[[#This Row],[ReisetidOslo]]&gt;=D$428,D$428,Tabell2[[#This Row],[ReisetidOslo]]))</f>
        <v>251.125</v>
      </c>
      <c r="N345" s="32">
        <f>IF(Tabell2[[#This Row],[Beftettotal]]&lt;=E$427,E$427,IF(Tabell2[[#This Row],[Beftettotal]]&gt;=E$428,E$428,Tabell2[[#This Row],[Beftettotal]]))</f>
        <v>27.7639751552795</v>
      </c>
      <c r="O345" s="32">
        <f>IF(Tabell2[[#This Row],[Befvekst10]]&lt;=F$427,F$427,IF(Tabell2[[#This Row],[Befvekst10]]&gt;=F$428,F$428,Tabell2[[#This Row],[Befvekst10]]))</f>
        <v>6.3020214030915511E-2</v>
      </c>
      <c r="P345" s="32">
        <f>IF(Tabell2[[#This Row],[Kvinneandel]]&lt;=G$427,G$427,IF(Tabell2[[#This Row],[Kvinneandel]]&gt;=G$428,G$428,Tabell2[[#This Row],[Kvinneandel]]))</f>
        <v>0.10961968680089486</v>
      </c>
      <c r="Q345" s="32">
        <f>IF(Tabell2[[#This Row],[Eldreandel]]&lt;=H$427,H$427,IF(Tabell2[[#This Row],[Eldreandel]]&gt;=H$428,H$428,Tabell2[[#This Row],[Eldreandel]]))</f>
        <v>0.18400447427293065</v>
      </c>
      <c r="R345" s="32">
        <f>IF(Tabell2[[#This Row],[Sysselsettingsvekst10]]&lt;=I$427,I$427,IF(Tabell2[[#This Row],[Sysselsettingsvekst10]]&gt;=I$428,I$428,Tabell2[[#This Row],[Sysselsettingsvekst10]]))</f>
        <v>1.2077294685990392E-2</v>
      </c>
      <c r="S345" s="32">
        <f>IF(Tabell2[[#This Row],[Yrkesaktivandel]]&lt;=J$427,J$427,IF(Tabell2[[#This Row],[Yrkesaktivandel]]&gt;=J$428,J$428,Tabell2[[#This Row],[Yrkesaktivandel]]))</f>
        <v>0.79729729729729726</v>
      </c>
      <c r="T345" s="67">
        <f>IF(Tabell2[[#This Row],[Inntekt]]&lt;=K$427,K$427,IF(Tabell2[[#This Row],[Inntekt]]&gt;=K$428,K$428,Tabell2[[#This Row],[Inntekt]]))</f>
        <v>379500</v>
      </c>
      <c r="U345" s="10">
        <f>IF(Tabell2[[#This Row],[NIBR11-T]]&lt;=L$430,100,IF(Tabell2[[#This Row],[NIBR11-T]]&gt;=L$429,0,100*(L$429-Tabell2[[#This Row],[NIBR11-T]])/L$432))</f>
        <v>20</v>
      </c>
      <c r="V345" s="10">
        <f>(M$429-Tabell2[[#This Row],[ReisetidOslo-T]])*100/M$432</f>
        <v>15.340341098421755</v>
      </c>
      <c r="W345" s="10">
        <f>100-(N$429-Tabell2[[#This Row],[Beftettotal-T]])*100/N$432</f>
        <v>19.764417530461728</v>
      </c>
      <c r="X345" s="10">
        <f>100-(O$429-Tabell2[[#This Row],[Befvekst10-T]])*100/O$432</f>
        <v>50.636192563447629</v>
      </c>
      <c r="Y345" s="10">
        <f>100-(P$429-Tabell2[[#This Row],[Kvinneandel-T]])*100/P$432</f>
        <v>52.041532229871322</v>
      </c>
      <c r="Z345" s="10">
        <f>(Q$429-Tabell2[[#This Row],[Eldreandel-T]])*100/Q$432</f>
        <v>42.0955050338302</v>
      </c>
      <c r="AA345" s="10">
        <f>100-(R$429-Tabell2[[#This Row],[Sysselsettingsvekst10-T]])*100/R$432</f>
        <v>41.588404381878171</v>
      </c>
      <c r="AB345" s="10">
        <f>100-(S$429-Tabell2[[#This Row],[Yrkesaktivandel-T]])*100/S$432</f>
        <v>0.19560198799040052</v>
      </c>
      <c r="AC345" s="10">
        <f>100-(T$429-Tabell2[[#This Row],[Inntekt-T]])*100/T$432</f>
        <v>22.625791402865715</v>
      </c>
      <c r="AD34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28.785546016036381</v>
      </c>
    </row>
    <row r="346" spans="1:30" x14ac:dyDescent="0.25">
      <c r="A346" s="2" t="s">
        <v>293</v>
      </c>
      <c r="B346" s="2">
        <v>344</v>
      </c>
      <c r="C346">
        <f>'Rådata-K'!N345</f>
        <v>7</v>
      </c>
      <c r="D346" s="30">
        <f>'Rådata-K'!M345</f>
        <v>213.90625</v>
      </c>
      <c r="E346" s="32">
        <f>'Rådata-K'!O345</f>
        <v>39.592772240285704</v>
      </c>
      <c r="F346" s="32">
        <f>'Rådata-K'!P345</f>
        <v>2.8096885813148731E-2</v>
      </c>
      <c r="G346" s="32">
        <f>'Rådata-K'!Q345</f>
        <v>0.11725901992460959</v>
      </c>
      <c r="H346" s="32">
        <f>'Rådata-K'!R345</f>
        <v>0.16787829833064083</v>
      </c>
      <c r="I346" s="32">
        <f>'Rådata-K'!S345</f>
        <v>9.5997760985166547E-2</v>
      </c>
      <c r="J346" s="32">
        <f>'Rådata-K'!T345</f>
        <v>0.84917647058823531</v>
      </c>
      <c r="K346" s="67">
        <f>'Rådata-K'!L345</f>
        <v>392500</v>
      </c>
      <c r="L346" s="18">
        <f>Tabell2[[#This Row],[NIBR11]]</f>
        <v>7</v>
      </c>
      <c r="M346" s="32">
        <f>IF(Tabell2[[#This Row],[ReisetidOslo]]&lt;=D$427,D$427,IF(Tabell2[[#This Row],[ReisetidOslo]]&gt;=D$428,D$428,Tabell2[[#This Row],[ReisetidOslo]]))</f>
        <v>213.90625</v>
      </c>
      <c r="N346" s="32">
        <f>IF(Tabell2[[#This Row],[Beftettotal]]&lt;=E$427,E$427,IF(Tabell2[[#This Row],[Beftettotal]]&gt;=E$428,E$428,Tabell2[[#This Row],[Beftettotal]]))</f>
        <v>39.592772240285704</v>
      </c>
      <c r="O346" s="32">
        <f>IF(Tabell2[[#This Row],[Befvekst10]]&lt;=F$427,F$427,IF(Tabell2[[#This Row],[Befvekst10]]&gt;=F$428,F$428,Tabell2[[#This Row],[Befvekst10]]))</f>
        <v>2.8096885813148731E-2</v>
      </c>
      <c r="P346" s="32">
        <f>IF(Tabell2[[#This Row],[Kvinneandel]]&lt;=G$427,G$427,IF(Tabell2[[#This Row],[Kvinneandel]]&gt;=G$428,G$428,Tabell2[[#This Row],[Kvinneandel]]))</f>
        <v>0.11725901992460959</v>
      </c>
      <c r="Q346" s="32">
        <f>IF(Tabell2[[#This Row],[Eldreandel]]&lt;=H$427,H$427,IF(Tabell2[[#This Row],[Eldreandel]]&gt;=H$428,H$428,Tabell2[[#This Row],[Eldreandel]]))</f>
        <v>0.16787829833064083</v>
      </c>
      <c r="R346" s="32">
        <f>IF(Tabell2[[#This Row],[Sysselsettingsvekst10]]&lt;=I$427,I$427,IF(Tabell2[[#This Row],[Sysselsettingsvekst10]]&gt;=I$428,I$428,Tabell2[[#This Row],[Sysselsettingsvekst10]]))</f>
        <v>9.5997760985166547E-2</v>
      </c>
      <c r="S346" s="32">
        <f>IF(Tabell2[[#This Row],[Yrkesaktivandel]]&lt;=J$427,J$427,IF(Tabell2[[#This Row],[Yrkesaktivandel]]&gt;=J$428,J$428,Tabell2[[#This Row],[Yrkesaktivandel]]))</f>
        <v>0.84917647058823531</v>
      </c>
      <c r="T346" s="67">
        <f>IF(Tabell2[[#This Row],[Inntekt]]&lt;=K$427,K$427,IF(Tabell2[[#This Row],[Inntekt]]&gt;=K$428,K$428,Tabell2[[#This Row],[Inntekt]]))</f>
        <v>392500</v>
      </c>
      <c r="U346" s="10">
        <f>IF(Tabell2[[#This Row],[NIBR11-T]]&lt;=L$430,100,IF(Tabell2[[#This Row],[NIBR11-T]]&gt;=L$429,0,100*(L$429-Tabell2[[#This Row],[NIBR11-T]])/L$432))</f>
        <v>40</v>
      </c>
      <c r="V346" s="10">
        <f>(M$429-Tabell2[[#This Row],[ReisetidOslo-T]])*100/M$432</f>
        <v>31.375400119152214</v>
      </c>
      <c r="W346" s="10">
        <f>100-(N$429-Tabell2[[#This Row],[Beftettotal-T]])*100/N$432</f>
        <v>28.580489329876897</v>
      </c>
      <c r="X346" s="10">
        <f>100-(O$429-Tabell2[[#This Row],[Befvekst10-T]])*100/O$432</f>
        <v>35.592102656572123</v>
      </c>
      <c r="Y346" s="10">
        <f>100-(P$429-Tabell2[[#This Row],[Kvinneandel-T]])*100/P$432</f>
        <v>72.219327200521434</v>
      </c>
      <c r="Z346" s="10">
        <f>(Q$429-Tabell2[[#This Row],[Eldreandel-T]])*100/Q$432</f>
        <v>59.489396270269516</v>
      </c>
      <c r="AA346" s="10">
        <f>100-(R$429-Tabell2[[#This Row],[Sysselsettingsvekst10-T]])*100/R$432</f>
        <v>70.947487406372645</v>
      </c>
      <c r="AB346" s="10">
        <f>100-(S$429-Tabell2[[#This Row],[Yrkesaktivandel-T]])*100/S$432</f>
        <v>40.435364203826467</v>
      </c>
      <c r="AC346" s="10">
        <f>100-(T$429-Tabell2[[#This Row],[Inntekt-T]])*100/T$432</f>
        <v>37.065422636898809</v>
      </c>
      <c r="AD34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42.54427307446668</v>
      </c>
    </row>
    <row r="347" spans="1:30" x14ac:dyDescent="0.25">
      <c r="A347" s="2" t="s">
        <v>294</v>
      </c>
      <c r="B347" s="2">
        <v>345</v>
      </c>
      <c r="C347">
        <f>'Rådata-K'!N346</f>
        <v>7</v>
      </c>
      <c r="D347" s="30">
        <f>'Rådata-K'!M346</f>
        <v>226.78125</v>
      </c>
      <c r="E347" s="32">
        <f>'Rådata-K'!O346</f>
        <v>4.896608056403422</v>
      </c>
      <c r="F347" s="32">
        <f>'Rådata-K'!P346</f>
        <v>7.30098916627413E-2</v>
      </c>
      <c r="G347" s="32">
        <f>'Rådata-K'!Q346</f>
        <v>0.11940298507462686</v>
      </c>
      <c r="H347" s="32">
        <f>'Rådata-K'!R346</f>
        <v>0.16022827041264268</v>
      </c>
      <c r="I347" s="32">
        <f>'Rådata-K'!S346</f>
        <v>-0.10803324099722988</v>
      </c>
      <c r="J347" s="32">
        <f>'Rådata-K'!T346</f>
        <v>0.80549199084668188</v>
      </c>
      <c r="K347" s="67">
        <f>'Rådata-K'!L346</f>
        <v>360400</v>
      </c>
      <c r="L347" s="18">
        <f>Tabell2[[#This Row],[NIBR11]]</f>
        <v>7</v>
      </c>
      <c r="M347" s="32">
        <f>IF(Tabell2[[#This Row],[ReisetidOslo]]&lt;=D$427,D$427,IF(Tabell2[[#This Row],[ReisetidOslo]]&gt;=D$428,D$428,Tabell2[[#This Row],[ReisetidOslo]]))</f>
        <v>226.78125</v>
      </c>
      <c r="N347" s="32">
        <f>IF(Tabell2[[#This Row],[Beftettotal]]&lt;=E$427,E$427,IF(Tabell2[[#This Row],[Beftettotal]]&gt;=E$428,E$428,Tabell2[[#This Row],[Beftettotal]]))</f>
        <v>4.896608056403422</v>
      </c>
      <c r="O347" s="32">
        <f>IF(Tabell2[[#This Row],[Befvekst10]]&lt;=F$427,F$427,IF(Tabell2[[#This Row],[Befvekst10]]&gt;=F$428,F$428,Tabell2[[#This Row],[Befvekst10]]))</f>
        <v>7.30098916627413E-2</v>
      </c>
      <c r="P347" s="32">
        <f>IF(Tabell2[[#This Row],[Kvinneandel]]&lt;=G$427,G$427,IF(Tabell2[[#This Row],[Kvinneandel]]&gt;=G$428,G$428,Tabell2[[#This Row],[Kvinneandel]]))</f>
        <v>0.11940298507462686</v>
      </c>
      <c r="Q347" s="32">
        <f>IF(Tabell2[[#This Row],[Eldreandel]]&lt;=H$427,H$427,IF(Tabell2[[#This Row],[Eldreandel]]&gt;=H$428,H$428,Tabell2[[#This Row],[Eldreandel]]))</f>
        <v>0.16022827041264268</v>
      </c>
      <c r="R347" s="32">
        <f>IF(Tabell2[[#This Row],[Sysselsettingsvekst10]]&lt;=I$427,I$427,IF(Tabell2[[#This Row],[Sysselsettingsvekst10]]&gt;=I$428,I$428,Tabell2[[#This Row],[Sysselsettingsvekst10]]))</f>
        <v>-0.10679965679965678</v>
      </c>
      <c r="S347" s="32">
        <f>IF(Tabell2[[#This Row],[Yrkesaktivandel]]&lt;=J$427,J$427,IF(Tabell2[[#This Row],[Yrkesaktivandel]]&gt;=J$428,J$428,Tabell2[[#This Row],[Yrkesaktivandel]]))</f>
        <v>0.80549199084668188</v>
      </c>
      <c r="T347" s="67">
        <f>IF(Tabell2[[#This Row],[Inntekt]]&lt;=K$427,K$427,IF(Tabell2[[#This Row],[Inntekt]]&gt;=K$428,K$428,Tabell2[[#This Row],[Inntekt]]))</f>
        <v>360400</v>
      </c>
      <c r="U347" s="10">
        <f>IF(Tabell2[[#This Row],[NIBR11-T]]&lt;=L$430,100,IF(Tabell2[[#This Row],[NIBR11-T]]&gt;=L$429,0,100*(L$429-Tabell2[[#This Row],[NIBR11-T]])/L$432))</f>
        <v>40</v>
      </c>
      <c r="V347" s="10">
        <f>(M$429-Tabell2[[#This Row],[ReisetidOslo-T]])*100/M$432</f>
        <v>25.828427561183325</v>
      </c>
      <c r="W347" s="10">
        <f>100-(N$429-Tabell2[[#This Row],[Beftettotal-T]])*100/N$432</f>
        <v>2.72123479949596</v>
      </c>
      <c r="X347" s="10">
        <f>100-(O$429-Tabell2[[#This Row],[Befvekst10-T]])*100/O$432</f>
        <v>54.9394939984304</v>
      </c>
      <c r="Y347" s="10">
        <f>100-(P$429-Tabell2[[#This Row],[Kvinneandel-T]])*100/P$432</f>
        <v>77.882189196547543</v>
      </c>
      <c r="Z347" s="10">
        <f>(Q$429-Tabell2[[#This Row],[Eldreandel-T]])*100/Q$432</f>
        <v>67.740810246997455</v>
      </c>
      <c r="AA347" s="10">
        <f>100-(R$429-Tabell2[[#This Row],[Sysselsettingsvekst10-T]])*100/R$432</f>
        <v>0</v>
      </c>
      <c r="AB347" s="10">
        <f>100-(S$429-Tabell2[[#This Row],[Yrkesaktivandel-T]])*100/S$432</f>
        <v>6.5517657227059232</v>
      </c>
      <c r="AC347" s="10">
        <f>100-(T$429-Tabell2[[#This Row],[Inntekt-T]])*100/T$432</f>
        <v>1.4106408974786149</v>
      </c>
      <c r="AD34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29.920255669949711</v>
      </c>
    </row>
    <row r="348" spans="1:30" x14ac:dyDescent="0.25">
      <c r="A348" s="2" t="s">
        <v>295</v>
      </c>
      <c r="B348" s="2">
        <v>346</v>
      </c>
      <c r="C348">
        <f>'Rådata-K'!N347</f>
        <v>6</v>
      </c>
      <c r="D348" s="30">
        <f>'Rådata-K'!M347</f>
        <v>206.15625</v>
      </c>
      <c r="E348" s="32">
        <f>'Rådata-K'!O347</f>
        <v>6.9799388315794921</v>
      </c>
      <c r="F348" s="32">
        <f>'Rådata-K'!P347</f>
        <v>-7.8107729717780128E-3</v>
      </c>
      <c r="G348" s="32">
        <f>'Rådata-K'!Q347</f>
        <v>0.11422205718529521</v>
      </c>
      <c r="H348" s="32">
        <f>'Rådata-K'!R347</f>
        <v>0.18277014481990345</v>
      </c>
      <c r="I348" s="32">
        <f>'Rådata-K'!S347</f>
        <v>3.2679738562091609E-2</v>
      </c>
      <c r="J348" s="32">
        <f>'Rådata-K'!T347</f>
        <v>0.85993485342019549</v>
      </c>
      <c r="K348" s="67">
        <f>'Rådata-K'!L347</f>
        <v>394700</v>
      </c>
      <c r="L348" s="18">
        <f>Tabell2[[#This Row],[NIBR11]]</f>
        <v>6</v>
      </c>
      <c r="M348" s="32">
        <f>IF(Tabell2[[#This Row],[ReisetidOslo]]&lt;=D$427,D$427,IF(Tabell2[[#This Row],[ReisetidOslo]]&gt;=D$428,D$428,Tabell2[[#This Row],[ReisetidOslo]]))</f>
        <v>206.15625</v>
      </c>
      <c r="N348" s="32">
        <f>IF(Tabell2[[#This Row],[Beftettotal]]&lt;=E$427,E$427,IF(Tabell2[[#This Row],[Beftettotal]]&gt;=E$428,E$428,Tabell2[[#This Row],[Beftettotal]]))</f>
        <v>6.9799388315794921</v>
      </c>
      <c r="O348" s="32">
        <f>IF(Tabell2[[#This Row],[Befvekst10]]&lt;=F$427,F$427,IF(Tabell2[[#This Row],[Befvekst10]]&gt;=F$428,F$428,Tabell2[[#This Row],[Befvekst10]]))</f>
        <v>-7.8107729717780128E-3</v>
      </c>
      <c r="P348" s="32">
        <f>IF(Tabell2[[#This Row],[Kvinneandel]]&lt;=G$427,G$427,IF(Tabell2[[#This Row],[Kvinneandel]]&gt;=G$428,G$428,Tabell2[[#This Row],[Kvinneandel]]))</f>
        <v>0.11422205718529521</v>
      </c>
      <c r="Q348" s="32">
        <f>IF(Tabell2[[#This Row],[Eldreandel]]&lt;=H$427,H$427,IF(Tabell2[[#This Row],[Eldreandel]]&gt;=H$428,H$428,Tabell2[[#This Row],[Eldreandel]]))</f>
        <v>0.18277014481990345</v>
      </c>
      <c r="R348" s="32">
        <f>IF(Tabell2[[#This Row],[Sysselsettingsvekst10]]&lt;=I$427,I$427,IF(Tabell2[[#This Row],[Sysselsettingsvekst10]]&gt;=I$428,I$428,Tabell2[[#This Row],[Sysselsettingsvekst10]]))</f>
        <v>3.2679738562091609E-2</v>
      </c>
      <c r="S348" s="32">
        <f>IF(Tabell2[[#This Row],[Yrkesaktivandel]]&lt;=J$427,J$427,IF(Tabell2[[#This Row],[Yrkesaktivandel]]&gt;=J$428,J$428,Tabell2[[#This Row],[Yrkesaktivandel]]))</f>
        <v>0.85993485342019549</v>
      </c>
      <c r="T348" s="67">
        <f>IF(Tabell2[[#This Row],[Inntekt]]&lt;=K$427,K$427,IF(Tabell2[[#This Row],[Inntekt]]&gt;=K$428,K$428,Tabell2[[#This Row],[Inntekt]]))</f>
        <v>394700</v>
      </c>
      <c r="U348" s="10">
        <f>IF(Tabell2[[#This Row],[NIBR11-T]]&lt;=L$430,100,IF(Tabell2[[#This Row],[NIBR11-T]]&gt;=L$429,0,100*(L$429-Tabell2[[#This Row],[NIBR11-T]])/L$432))</f>
        <v>50</v>
      </c>
      <c r="V348" s="10">
        <f>(M$429-Tabell2[[#This Row],[ReisetidOslo-T]])*100/M$432</f>
        <v>34.714354474434458</v>
      </c>
      <c r="W348" s="10">
        <f>100-(N$429-Tabell2[[#This Row],[Beftettotal-T]])*100/N$432</f>
        <v>4.2739534372317252</v>
      </c>
      <c r="X348" s="10">
        <f>100-(O$429-Tabell2[[#This Row],[Befvekst10-T]])*100/O$432</f>
        <v>20.123987941462374</v>
      </c>
      <c r="Y348" s="10">
        <f>100-(P$429-Tabell2[[#This Row],[Kvinneandel-T]])*100/P$432</f>
        <v>64.197787820708186</v>
      </c>
      <c r="Z348" s="10">
        <f>(Q$429-Tabell2[[#This Row],[Eldreandel-T]])*100/Q$432</f>
        <v>43.426867926850967</v>
      </c>
      <c r="AA348" s="10">
        <f>100-(R$429-Tabell2[[#This Row],[Sysselsettingsvekst10-T]])*100/R$432</f>
        <v>48.796048559039768</v>
      </c>
      <c r="AB348" s="10">
        <f>100-(S$429-Tabell2[[#This Row],[Yrkesaktivandel-T]])*100/S$432</f>
        <v>48.780037789067073</v>
      </c>
      <c r="AC348" s="10">
        <f>100-(T$429-Tabell2[[#This Row],[Inntekt-T]])*100/T$432</f>
        <v>39.509052538042873</v>
      </c>
      <c r="AD34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37.013375055452023</v>
      </c>
    </row>
    <row r="349" spans="1:30" x14ac:dyDescent="0.25">
      <c r="A349" s="2" t="s">
        <v>296</v>
      </c>
      <c r="B349" s="2">
        <v>347</v>
      </c>
      <c r="C349">
        <f>'Rådata-K'!N348</f>
        <v>6</v>
      </c>
      <c r="D349" s="30">
        <f>'Rådata-K'!M348</f>
        <v>230.65625</v>
      </c>
      <c r="E349" s="32">
        <f>'Rådata-K'!O348</f>
        <v>0.73297906843300153</v>
      </c>
      <c r="F349" s="32">
        <f>'Rådata-K'!P348</f>
        <v>-4.6103896103896091E-2</v>
      </c>
      <c r="G349" s="32">
        <f>'Rådata-K'!Q348</f>
        <v>9.2579986385296117E-2</v>
      </c>
      <c r="H349" s="32">
        <f>'Rådata-K'!R348</f>
        <v>0.21715452688904016</v>
      </c>
      <c r="I349" s="32">
        <f>'Rådata-K'!S348</f>
        <v>-2.3465703971119134E-2</v>
      </c>
      <c r="J349" s="32">
        <f>'Rådata-K'!T348</f>
        <v>0.88833124215809289</v>
      </c>
      <c r="K349" s="67">
        <f>'Rådata-K'!L348</f>
        <v>368600</v>
      </c>
      <c r="L349" s="18">
        <f>Tabell2[[#This Row],[NIBR11]]</f>
        <v>6</v>
      </c>
      <c r="M349" s="32">
        <f>IF(Tabell2[[#This Row],[ReisetidOslo]]&lt;=D$427,D$427,IF(Tabell2[[#This Row],[ReisetidOslo]]&gt;=D$428,D$428,Tabell2[[#This Row],[ReisetidOslo]]))</f>
        <v>230.65625</v>
      </c>
      <c r="N349" s="32">
        <f>IF(Tabell2[[#This Row],[Beftettotal]]&lt;=E$427,E$427,IF(Tabell2[[#This Row],[Beftettotal]]&gt;=E$428,E$428,Tabell2[[#This Row],[Beftettotal]]))</f>
        <v>1.2454428893921135</v>
      </c>
      <c r="O349" s="32">
        <f>IF(Tabell2[[#This Row],[Befvekst10]]&lt;=F$427,F$427,IF(Tabell2[[#This Row],[Befvekst10]]&gt;=F$428,F$428,Tabell2[[#This Row],[Befvekst10]]))</f>
        <v>-4.6103896103896091E-2</v>
      </c>
      <c r="P349" s="32">
        <f>IF(Tabell2[[#This Row],[Kvinneandel]]&lt;=G$427,G$427,IF(Tabell2[[#This Row],[Kvinneandel]]&gt;=G$428,G$428,Tabell2[[#This Row],[Kvinneandel]]))</f>
        <v>9.2579986385296117E-2</v>
      </c>
      <c r="Q349" s="32">
        <f>IF(Tabell2[[#This Row],[Eldreandel]]&lt;=H$427,H$427,IF(Tabell2[[#This Row],[Eldreandel]]&gt;=H$428,H$428,Tabell2[[#This Row],[Eldreandel]]))</f>
        <v>0.21715452688904016</v>
      </c>
      <c r="R349" s="32">
        <f>IF(Tabell2[[#This Row],[Sysselsettingsvekst10]]&lt;=I$427,I$427,IF(Tabell2[[#This Row],[Sysselsettingsvekst10]]&gt;=I$428,I$428,Tabell2[[#This Row],[Sysselsettingsvekst10]]))</f>
        <v>-2.3465703971119134E-2</v>
      </c>
      <c r="S349" s="32">
        <f>IF(Tabell2[[#This Row],[Yrkesaktivandel]]&lt;=J$427,J$427,IF(Tabell2[[#This Row],[Yrkesaktivandel]]&gt;=J$428,J$428,Tabell2[[#This Row],[Yrkesaktivandel]]))</f>
        <v>0.88833124215809289</v>
      </c>
      <c r="T349" s="67">
        <f>IF(Tabell2[[#This Row],[Inntekt]]&lt;=K$427,K$427,IF(Tabell2[[#This Row],[Inntekt]]&gt;=K$428,K$428,Tabell2[[#This Row],[Inntekt]]))</f>
        <v>368600</v>
      </c>
      <c r="U349" s="10">
        <f>IF(Tabell2[[#This Row],[NIBR11-T]]&lt;=L$430,100,IF(Tabell2[[#This Row],[NIBR11-T]]&gt;=L$429,0,100*(L$429-Tabell2[[#This Row],[NIBR11-T]])/L$432))</f>
        <v>50</v>
      </c>
      <c r="V349" s="10">
        <f>(M$429-Tabell2[[#This Row],[ReisetidOslo-T]])*100/M$432</f>
        <v>24.158950383542201</v>
      </c>
      <c r="W349" s="10">
        <f>100-(N$429-Tabell2[[#This Row],[Beftettotal-T]])*100/N$432</f>
        <v>0</v>
      </c>
      <c r="X349" s="10">
        <f>100-(O$429-Tabell2[[#This Row],[Befvekst10-T]])*100/O$432</f>
        <v>3.6282752870893518</v>
      </c>
      <c r="Y349" s="10">
        <f>100-(P$429-Tabell2[[#This Row],[Kvinneandel-T]])*100/P$432</f>
        <v>7.0345171175281394</v>
      </c>
      <c r="Z349" s="10">
        <f>(Q$429-Tabell2[[#This Row],[Eldreandel-T]])*100/Q$432</f>
        <v>6.3394515373076947</v>
      </c>
      <c r="AA349" s="10">
        <f>100-(R$429-Tabell2[[#This Row],[Sysselsettingsvekst10-T]])*100/R$432</f>
        <v>29.15389472611119</v>
      </c>
      <c r="AB349" s="10">
        <f>100-(S$429-Tabell2[[#This Row],[Yrkesaktivandel-T]])*100/S$432</f>
        <v>70.805522354778731</v>
      </c>
      <c r="AC349" s="10">
        <f>100-(T$429-Tabell2[[#This Row],[Inntekt-T]])*100/T$432</f>
        <v>10.518715983561037</v>
      </c>
      <c r="AD34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24.858061834958981</v>
      </c>
    </row>
    <row r="350" spans="1:30" x14ac:dyDescent="0.25">
      <c r="A350" s="2" t="s">
        <v>297</v>
      </c>
      <c r="B350" s="2">
        <v>348</v>
      </c>
      <c r="C350">
        <f>'Rådata-K'!N349</f>
        <v>11</v>
      </c>
      <c r="D350" s="30">
        <f>'Rådata-K'!M349</f>
        <v>256.5</v>
      </c>
      <c r="E350" s="32">
        <f>'Rådata-K'!O349</f>
        <v>0.52676479244200558</v>
      </c>
      <c r="F350" s="32">
        <f>'Rådata-K'!P349</f>
        <v>-4.5883940620782715E-2</v>
      </c>
      <c r="G350" s="32">
        <f>'Rådata-K'!Q349</f>
        <v>8.1329561527581334E-2</v>
      </c>
      <c r="H350" s="32">
        <f>'Rådata-K'!R349</f>
        <v>0.23691654879773691</v>
      </c>
      <c r="I350" s="32">
        <f>'Rådata-K'!S349</f>
        <v>-8.6696562032884894E-2</v>
      </c>
      <c r="J350" s="32">
        <f>'Rådata-K'!T349</f>
        <v>0.95034482758620686</v>
      </c>
      <c r="K350" s="67">
        <f>'Rådata-K'!L349</f>
        <v>311000</v>
      </c>
      <c r="L350" s="18">
        <f>Tabell2[[#This Row],[NIBR11]]</f>
        <v>11</v>
      </c>
      <c r="M350" s="32">
        <f>IF(Tabell2[[#This Row],[ReisetidOslo]]&lt;=D$427,D$427,IF(Tabell2[[#This Row],[ReisetidOslo]]&gt;=D$428,D$428,Tabell2[[#This Row],[ReisetidOslo]]))</f>
        <v>256.5</v>
      </c>
      <c r="N350" s="32">
        <f>IF(Tabell2[[#This Row],[Beftettotal]]&lt;=E$427,E$427,IF(Tabell2[[#This Row],[Beftettotal]]&gt;=E$428,E$428,Tabell2[[#This Row],[Beftettotal]]))</f>
        <v>1.2454428893921135</v>
      </c>
      <c r="O350" s="32">
        <f>IF(Tabell2[[#This Row],[Befvekst10]]&lt;=F$427,F$427,IF(Tabell2[[#This Row],[Befvekst10]]&gt;=F$428,F$428,Tabell2[[#This Row],[Befvekst10]]))</f>
        <v>-4.5883940620782715E-2</v>
      </c>
      <c r="P350" s="32">
        <f>IF(Tabell2[[#This Row],[Kvinneandel]]&lt;=G$427,G$427,IF(Tabell2[[#This Row],[Kvinneandel]]&gt;=G$428,G$428,Tabell2[[#This Row],[Kvinneandel]]))</f>
        <v>8.9916711250255951E-2</v>
      </c>
      <c r="Q350" s="32">
        <f>IF(Tabell2[[#This Row],[Eldreandel]]&lt;=H$427,H$427,IF(Tabell2[[#This Row],[Eldreandel]]&gt;=H$428,H$428,Tabell2[[#This Row],[Eldreandel]]))</f>
        <v>0.22303194152148736</v>
      </c>
      <c r="R350" s="32">
        <f>IF(Tabell2[[#This Row],[Sysselsettingsvekst10]]&lt;=I$427,I$427,IF(Tabell2[[#This Row],[Sysselsettingsvekst10]]&gt;=I$428,I$428,Tabell2[[#This Row],[Sysselsettingsvekst10]]))</f>
        <v>-8.6696562032884894E-2</v>
      </c>
      <c r="S350" s="32">
        <f>IF(Tabell2[[#This Row],[Yrkesaktivandel]]&lt;=J$427,J$427,IF(Tabell2[[#This Row],[Yrkesaktivandel]]&gt;=J$428,J$428,Tabell2[[#This Row],[Yrkesaktivandel]]))</f>
        <v>0.92597026588718434</v>
      </c>
      <c r="T350" s="67">
        <f>IF(Tabell2[[#This Row],[Inntekt]]&lt;=K$427,K$427,IF(Tabell2[[#This Row],[Inntekt]]&gt;=K$428,K$428,Tabell2[[#This Row],[Inntekt]]))</f>
        <v>359130</v>
      </c>
      <c r="U350" s="10">
        <f>IF(Tabell2[[#This Row],[NIBR11-T]]&lt;=L$430,100,IF(Tabell2[[#This Row],[NIBR11-T]]&gt;=L$429,0,100*(L$429-Tabell2[[#This Row],[NIBR11-T]])/L$432))</f>
        <v>0</v>
      </c>
      <c r="V350" s="10">
        <f>(M$429-Tabell2[[#This Row],[ReisetidOslo-T]])*100/M$432</f>
        <v>13.024614690726004</v>
      </c>
      <c r="W350" s="10">
        <f>100-(N$429-Tabell2[[#This Row],[Beftettotal-T]])*100/N$432</f>
        <v>0</v>
      </c>
      <c r="X350" s="10">
        <f>100-(O$429-Tabell2[[#This Row],[Befvekst10-T]])*100/O$432</f>
        <v>3.7230265674608489</v>
      </c>
      <c r="Y350" s="10">
        <f>100-(P$429-Tabell2[[#This Row],[Kvinneandel-T]])*100/P$432</f>
        <v>0</v>
      </c>
      <c r="Z350" s="10">
        <f>(Q$429-Tabell2[[#This Row],[Eldreandel-T]])*100/Q$432</f>
        <v>0</v>
      </c>
      <c r="AA350" s="10">
        <f>100-(R$429-Tabell2[[#This Row],[Sysselsettingsvekst10-T]])*100/R$432</f>
        <v>7.0329498194498399</v>
      </c>
      <c r="AB350" s="10">
        <f>100-(S$429-Tabell2[[#This Row],[Yrkesaktivandel-T]])*100/S$432</f>
        <v>100</v>
      </c>
      <c r="AC350" s="10">
        <f>100-(T$429-Tabell2[[#This Row],[Inntekt-T]])*100/T$432</f>
        <v>0</v>
      </c>
      <c r="AD35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12.750361764509755</v>
      </c>
    </row>
    <row r="351" spans="1:30" x14ac:dyDescent="0.25">
      <c r="A351" s="2" t="s">
        <v>298</v>
      </c>
      <c r="B351" s="2">
        <v>349</v>
      </c>
      <c r="C351">
        <f>'Rådata-K'!N350</f>
        <v>7</v>
      </c>
      <c r="D351" s="30">
        <f>'Rådata-K'!M350</f>
        <v>260.5625</v>
      </c>
      <c r="E351" s="32">
        <f>'Rådata-K'!O350</f>
        <v>7.3460456392622699</v>
      </c>
      <c r="F351" s="32">
        <f>'Rådata-K'!P350</f>
        <v>-5.3055742108797821E-2</v>
      </c>
      <c r="G351" s="32">
        <f>'Rådata-K'!Q350</f>
        <v>8.5106382978723402E-2</v>
      </c>
      <c r="H351" s="32">
        <f>'Rådata-K'!R350</f>
        <v>0.20141843971631207</v>
      </c>
      <c r="I351" s="32">
        <f>'Rådata-K'!S350</f>
        <v>-7.5438596491228083E-2</v>
      </c>
      <c r="J351" s="32">
        <f>'Rådata-K'!T350</f>
        <v>0.84756898817345594</v>
      </c>
      <c r="K351" s="67">
        <f>'Rådata-K'!L350</f>
        <v>379900</v>
      </c>
      <c r="L351" s="18">
        <f>Tabell2[[#This Row],[NIBR11]]</f>
        <v>7</v>
      </c>
      <c r="M351" s="32">
        <f>IF(Tabell2[[#This Row],[ReisetidOslo]]&lt;=D$427,D$427,IF(Tabell2[[#This Row],[ReisetidOslo]]&gt;=D$428,D$428,Tabell2[[#This Row],[ReisetidOslo]]))</f>
        <v>260.5625</v>
      </c>
      <c r="N351" s="32">
        <f>IF(Tabell2[[#This Row],[Beftettotal]]&lt;=E$427,E$427,IF(Tabell2[[#This Row],[Beftettotal]]&gt;=E$428,E$428,Tabell2[[#This Row],[Beftettotal]]))</f>
        <v>7.3460456392622699</v>
      </c>
      <c r="O351" s="32">
        <f>IF(Tabell2[[#This Row],[Befvekst10]]&lt;=F$427,F$427,IF(Tabell2[[#This Row],[Befvekst10]]&gt;=F$428,F$428,Tabell2[[#This Row],[Befvekst10]]))</f>
        <v>-5.3055742108797821E-2</v>
      </c>
      <c r="P351" s="32">
        <f>IF(Tabell2[[#This Row],[Kvinneandel]]&lt;=G$427,G$427,IF(Tabell2[[#This Row],[Kvinneandel]]&gt;=G$428,G$428,Tabell2[[#This Row],[Kvinneandel]]))</f>
        <v>8.9916711250255951E-2</v>
      </c>
      <c r="Q351" s="32">
        <f>IF(Tabell2[[#This Row],[Eldreandel]]&lt;=H$427,H$427,IF(Tabell2[[#This Row],[Eldreandel]]&gt;=H$428,H$428,Tabell2[[#This Row],[Eldreandel]]))</f>
        <v>0.20141843971631207</v>
      </c>
      <c r="R351" s="32">
        <f>IF(Tabell2[[#This Row],[Sysselsettingsvekst10]]&lt;=I$427,I$427,IF(Tabell2[[#This Row],[Sysselsettingsvekst10]]&gt;=I$428,I$428,Tabell2[[#This Row],[Sysselsettingsvekst10]]))</f>
        <v>-7.5438596491228083E-2</v>
      </c>
      <c r="S351" s="32">
        <f>IF(Tabell2[[#This Row],[Yrkesaktivandel]]&lt;=J$427,J$427,IF(Tabell2[[#This Row],[Yrkesaktivandel]]&gt;=J$428,J$428,Tabell2[[#This Row],[Yrkesaktivandel]]))</f>
        <v>0.84756898817345594</v>
      </c>
      <c r="T351" s="67">
        <f>IF(Tabell2[[#This Row],[Inntekt]]&lt;=K$427,K$427,IF(Tabell2[[#This Row],[Inntekt]]&gt;=K$428,K$428,Tabell2[[#This Row],[Inntekt]]))</f>
        <v>379900</v>
      </c>
      <c r="U351" s="10">
        <f>IF(Tabell2[[#This Row],[NIBR11-T]]&lt;=L$430,100,IF(Tabell2[[#This Row],[NIBR11-T]]&gt;=L$429,0,100*(L$429-Tabell2[[#This Row],[NIBR11-T]])/L$432))</f>
        <v>40</v>
      </c>
      <c r="V351" s="10">
        <f>(M$429-Tabell2[[#This Row],[ReisetidOslo-T]])*100/M$432</f>
        <v>11.274356359328053</v>
      </c>
      <c r="W351" s="10">
        <f>100-(N$429-Tabell2[[#This Row],[Beftettotal-T]])*100/N$432</f>
        <v>4.5468149868543151</v>
      </c>
      <c r="X351" s="10">
        <f>100-(O$429-Tabell2[[#This Row],[Befvekst10-T]])*100/O$432</f>
        <v>0.63359517915824881</v>
      </c>
      <c r="Y351" s="10">
        <f>100-(P$429-Tabell2[[#This Row],[Kvinneandel-T]])*100/P$432</f>
        <v>0</v>
      </c>
      <c r="Z351" s="10">
        <f>(Q$429-Tabell2[[#This Row],[Eldreandel-T]])*100/Q$432</f>
        <v>23.312588240583345</v>
      </c>
      <c r="AA351" s="10">
        <f>100-(R$429-Tabell2[[#This Row],[Sysselsettingsvekst10-T]])*100/R$432</f>
        <v>10.97148304740027</v>
      </c>
      <c r="AB351" s="10">
        <f>100-(S$429-Tabell2[[#This Row],[Yrkesaktivandel-T]])*100/S$432</f>
        <v>39.188530339028581</v>
      </c>
      <c r="AC351" s="10">
        <f>100-(T$429-Tabell2[[#This Row],[Inntekt-T]])*100/T$432</f>
        <v>23.070087748528266</v>
      </c>
      <c r="AD35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18.197475695974767</v>
      </c>
    </row>
    <row r="352" spans="1:30" x14ac:dyDescent="0.25">
      <c r="A352" s="2" t="s">
        <v>299</v>
      </c>
      <c r="B352" s="2">
        <v>350</v>
      </c>
      <c r="C352">
        <f>'Rådata-K'!N351</f>
        <v>5</v>
      </c>
      <c r="D352" s="30">
        <f>'Rådata-K'!M351</f>
        <v>278.1875</v>
      </c>
      <c r="E352" s="32">
        <f>'Rådata-K'!O351</f>
        <v>10.028387378534774</v>
      </c>
      <c r="F352" s="32">
        <f>'Rådata-K'!P351</f>
        <v>3.4346846846846857E-2</v>
      </c>
      <c r="G352" s="32">
        <f>'Rådata-K'!Q351</f>
        <v>0.11921611322808928</v>
      </c>
      <c r="H352" s="32">
        <f>'Rådata-K'!R351</f>
        <v>0.16113228089275994</v>
      </c>
      <c r="I352" s="32">
        <f>'Rådata-K'!S351</f>
        <v>1.5550239234449759E-2</v>
      </c>
      <c r="J352" s="32">
        <f>'Rådata-K'!T351</f>
        <v>0.81470869149952241</v>
      </c>
      <c r="K352" s="67">
        <f>'Rådata-K'!L351</f>
        <v>330800</v>
      </c>
      <c r="L352" s="18">
        <f>Tabell2[[#This Row],[NIBR11]]</f>
        <v>5</v>
      </c>
      <c r="M352" s="32">
        <f>IF(Tabell2[[#This Row],[ReisetidOslo]]&lt;=D$427,D$427,IF(Tabell2[[#This Row],[ReisetidOslo]]&gt;=D$428,D$428,Tabell2[[#This Row],[ReisetidOslo]]))</f>
        <v>278.1875</v>
      </c>
      <c r="N352" s="32">
        <f>IF(Tabell2[[#This Row],[Beftettotal]]&lt;=E$427,E$427,IF(Tabell2[[#This Row],[Beftettotal]]&gt;=E$428,E$428,Tabell2[[#This Row],[Beftettotal]]))</f>
        <v>10.028387378534774</v>
      </c>
      <c r="O352" s="32">
        <f>IF(Tabell2[[#This Row],[Befvekst10]]&lt;=F$427,F$427,IF(Tabell2[[#This Row],[Befvekst10]]&gt;=F$428,F$428,Tabell2[[#This Row],[Befvekst10]]))</f>
        <v>3.4346846846846857E-2</v>
      </c>
      <c r="P352" s="32">
        <f>IF(Tabell2[[#This Row],[Kvinneandel]]&lt;=G$427,G$427,IF(Tabell2[[#This Row],[Kvinneandel]]&gt;=G$428,G$428,Tabell2[[#This Row],[Kvinneandel]]))</f>
        <v>0.11921611322808928</v>
      </c>
      <c r="Q352" s="32">
        <f>IF(Tabell2[[#This Row],[Eldreandel]]&lt;=H$427,H$427,IF(Tabell2[[#This Row],[Eldreandel]]&gt;=H$428,H$428,Tabell2[[#This Row],[Eldreandel]]))</f>
        <v>0.16113228089275994</v>
      </c>
      <c r="R352" s="32">
        <f>IF(Tabell2[[#This Row],[Sysselsettingsvekst10]]&lt;=I$427,I$427,IF(Tabell2[[#This Row],[Sysselsettingsvekst10]]&gt;=I$428,I$428,Tabell2[[#This Row],[Sysselsettingsvekst10]]))</f>
        <v>1.5550239234449759E-2</v>
      </c>
      <c r="S352" s="32">
        <f>IF(Tabell2[[#This Row],[Yrkesaktivandel]]&lt;=J$427,J$427,IF(Tabell2[[#This Row],[Yrkesaktivandel]]&gt;=J$428,J$428,Tabell2[[#This Row],[Yrkesaktivandel]]))</f>
        <v>0.81470869149952241</v>
      </c>
      <c r="T352" s="67">
        <f>IF(Tabell2[[#This Row],[Inntekt]]&lt;=K$427,K$427,IF(Tabell2[[#This Row],[Inntekt]]&gt;=K$428,K$428,Tabell2[[#This Row],[Inntekt]]))</f>
        <v>359130</v>
      </c>
      <c r="U352" s="10">
        <f>IF(Tabell2[[#This Row],[NIBR11-T]]&lt;=L$430,100,IF(Tabell2[[#This Row],[NIBR11-T]]&gt;=L$429,0,100*(L$429-Tabell2[[#This Row],[NIBR11-T]])/L$432))</f>
        <v>60</v>
      </c>
      <c r="V352" s="10">
        <f>(M$429-Tabell2[[#This Row],[ReisetidOslo-T]])*100/M$432</f>
        <v>3.6809279061861724</v>
      </c>
      <c r="W352" s="10">
        <f>100-(N$429-Tabell2[[#This Row],[Beftettotal-T]])*100/N$432</f>
        <v>6.545980007105598</v>
      </c>
      <c r="X352" s="10">
        <f>100-(O$429-Tabell2[[#This Row],[Befvekst10-T]])*100/O$432</f>
        <v>38.28442840282186</v>
      </c>
      <c r="Y352" s="10">
        <f>100-(P$429-Tabell2[[#This Row],[Kvinneandel-T]])*100/P$432</f>
        <v>77.38860399164048</v>
      </c>
      <c r="Z352" s="10">
        <f>(Q$429-Tabell2[[#This Row],[Eldreandel-T]])*100/Q$432</f>
        <v>66.765733451107792</v>
      </c>
      <c r="AA352" s="10">
        <f>100-(R$429-Tabell2[[#This Row],[Sysselsettingsvekst10-T]])*100/R$432</f>
        <v>42.803393666782618</v>
      </c>
      <c r="AB352" s="10">
        <f>100-(S$429-Tabell2[[#This Row],[Yrkesaktivandel-T]])*100/S$432</f>
        <v>13.700642991913057</v>
      </c>
      <c r="AC352" s="10">
        <f>100-(T$429-Tabell2[[#This Row],[Inntekt-T]])*100/T$432</f>
        <v>0</v>
      </c>
      <c r="AD35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33.537697009900526</v>
      </c>
    </row>
    <row r="353" spans="1:30" x14ac:dyDescent="0.25">
      <c r="A353" s="2" t="s">
        <v>300</v>
      </c>
      <c r="B353" s="2">
        <v>351</v>
      </c>
      <c r="C353">
        <f>'Rådata-K'!N352</f>
        <v>5</v>
      </c>
      <c r="D353" s="30">
        <f>'Rådata-K'!M352</f>
        <v>245.3125</v>
      </c>
      <c r="E353" s="32">
        <f>'Rådata-K'!O352</f>
        <v>2.8463212995935625</v>
      </c>
      <c r="F353" s="32">
        <f>'Rådata-K'!P352</f>
        <v>3.1042128603104846E-3</v>
      </c>
      <c r="G353" s="32">
        <f>'Rådata-K'!Q352</f>
        <v>0.10742705570291777</v>
      </c>
      <c r="H353" s="32">
        <f>'Rådata-K'!R352</f>
        <v>0.20711759504862953</v>
      </c>
      <c r="I353" s="32">
        <f>'Rådata-K'!S352</f>
        <v>0.15775401069518713</v>
      </c>
      <c r="J353" s="32">
        <f>'Rådata-K'!T352</f>
        <v>0.84944467297408477</v>
      </c>
      <c r="K353" s="67">
        <f>'Rådata-K'!L352</f>
        <v>371600</v>
      </c>
      <c r="L353" s="18">
        <f>Tabell2[[#This Row],[NIBR11]]</f>
        <v>5</v>
      </c>
      <c r="M353" s="32">
        <f>IF(Tabell2[[#This Row],[ReisetidOslo]]&lt;=D$427,D$427,IF(Tabell2[[#This Row],[ReisetidOslo]]&gt;=D$428,D$428,Tabell2[[#This Row],[ReisetidOslo]]))</f>
        <v>245.3125</v>
      </c>
      <c r="N353" s="32">
        <f>IF(Tabell2[[#This Row],[Beftettotal]]&lt;=E$427,E$427,IF(Tabell2[[#This Row],[Beftettotal]]&gt;=E$428,E$428,Tabell2[[#This Row],[Beftettotal]]))</f>
        <v>2.8463212995935625</v>
      </c>
      <c r="O353" s="32">
        <f>IF(Tabell2[[#This Row],[Befvekst10]]&lt;=F$427,F$427,IF(Tabell2[[#This Row],[Befvekst10]]&gt;=F$428,F$428,Tabell2[[#This Row],[Befvekst10]]))</f>
        <v>3.1042128603104846E-3</v>
      </c>
      <c r="P353" s="32">
        <f>IF(Tabell2[[#This Row],[Kvinneandel]]&lt;=G$427,G$427,IF(Tabell2[[#This Row],[Kvinneandel]]&gt;=G$428,G$428,Tabell2[[#This Row],[Kvinneandel]]))</f>
        <v>0.10742705570291777</v>
      </c>
      <c r="Q353" s="32">
        <f>IF(Tabell2[[#This Row],[Eldreandel]]&lt;=H$427,H$427,IF(Tabell2[[#This Row],[Eldreandel]]&gt;=H$428,H$428,Tabell2[[#This Row],[Eldreandel]]))</f>
        <v>0.20711759504862953</v>
      </c>
      <c r="R353" s="32">
        <f>IF(Tabell2[[#This Row],[Sysselsettingsvekst10]]&lt;=I$427,I$427,IF(Tabell2[[#This Row],[Sysselsettingsvekst10]]&gt;=I$428,I$428,Tabell2[[#This Row],[Sysselsettingsvekst10]]))</f>
        <v>0.15775401069518713</v>
      </c>
      <c r="S353" s="32">
        <f>IF(Tabell2[[#This Row],[Yrkesaktivandel]]&lt;=J$427,J$427,IF(Tabell2[[#This Row],[Yrkesaktivandel]]&gt;=J$428,J$428,Tabell2[[#This Row],[Yrkesaktivandel]]))</f>
        <v>0.84944467297408477</v>
      </c>
      <c r="T353" s="67">
        <f>IF(Tabell2[[#This Row],[Inntekt]]&lt;=K$427,K$427,IF(Tabell2[[#This Row],[Inntekt]]&gt;=K$428,K$428,Tabell2[[#This Row],[Inntekt]]))</f>
        <v>371600</v>
      </c>
      <c r="U353" s="10">
        <f>IF(Tabell2[[#This Row],[NIBR11-T]]&lt;=L$430,100,IF(Tabell2[[#This Row],[NIBR11-T]]&gt;=L$429,0,100*(L$429-Tabell2[[#This Row],[NIBR11-T]])/L$432))</f>
        <v>60</v>
      </c>
      <c r="V353" s="10">
        <f>(M$429-Tabell2[[#This Row],[ReisetidOslo-T]])*100/M$432</f>
        <v>17.84455686488344</v>
      </c>
      <c r="W353" s="10">
        <f>100-(N$429-Tabell2[[#This Row],[Beftettotal-T]])*100/N$432</f>
        <v>1.1931440623289973</v>
      </c>
      <c r="X353" s="10">
        <f>100-(O$429-Tabell2[[#This Row],[Befvekst10-T]])*100/O$432</f>
        <v>24.825888836081972</v>
      </c>
      <c r="Y353" s="10">
        <f>100-(P$429-Tabell2[[#This Row],[Kvinneandel-T]])*100/P$432</f>
        <v>46.250128710117551</v>
      </c>
      <c r="Z353" s="10">
        <f>(Q$429-Tabell2[[#This Row],[Eldreandel-T]])*100/Q$432</f>
        <v>17.165409371603008</v>
      </c>
      <c r="AA353" s="10">
        <f>100-(R$429-Tabell2[[#This Row],[Sysselsettingsvekst10-T]])*100/R$432</f>
        <v>92.552549228290871</v>
      </c>
      <c r="AB353" s="10">
        <f>100-(S$429-Tabell2[[#This Row],[Yrkesaktivandel-T]])*100/S$432</f>
        <v>40.643393737600618</v>
      </c>
      <c r="AC353" s="10">
        <f>100-(T$429-Tabell2[[#This Row],[Inntekt-T]])*100/T$432</f>
        <v>13.850938576030217</v>
      </c>
      <c r="AD35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36.744412918215843</v>
      </c>
    </row>
    <row r="354" spans="1:30" x14ac:dyDescent="0.25">
      <c r="A354" s="2" t="s">
        <v>301</v>
      </c>
      <c r="B354" s="2">
        <v>352</v>
      </c>
      <c r="C354">
        <f>'Rådata-K'!N353</f>
        <v>5</v>
      </c>
      <c r="D354" s="30">
        <f>'Rådata-K'!M353</f>
        <v>227.40625</v>
      </c>
      <c r="E354" s="32">
        <f>'Rådata-K'!O353</f>
        <v>5.8522683958224038</v>
      </c>
      <c r="F354" s="32">
        <f>'Rådata-K'!P353</f>
        <v>3.616514489876943E-2</v>
      </c>
      <c r="G354" s="32">
        <f>'Rådata-K'!Q353</f>
        <v>0.11520631393433202</v>
      </c>
      <c r="H354" s="32">
        <f>'Rådata-K'!R353</f>
        <v>0.16600896517374814</v>
      </c>
      <c r="I354" s="32">
        <f>'Rådata-K'!S353</f>
        <v>0.10629178810217721</v>
      </c>
      <c r="J354" s="32">
        <f>'Rådata-K'!T353</f>
        <v>0.84147307286166839</v>
      </c>
      <c r="K354" s="67">
        <f>'Rådata-K'!L353</f>
        <v>401200</v>
      </c>
      <c r="L354" s="18">
        <f>Tabell2[[#This Row],[NIBR11]]</f>
        <v>5</v>
      </c>
      <c r="M354" s="32">
        <f>IF(Tabell2[[#This Row],[ReisetidOslo]]&lt;=D$427,D$427,IF(Tabell2[[#This Row],[ReisetidOslo]]&gt;=D$428,D$428,Tabell2[[#This Row],[ReisetidOslo]]))</f>
        <v>227.40625</v>
      </c>
      <c r="N354" s="32">
        <f>IF(Tabell2[[#This Row],[Beftettotal]]&lt;=E$427,E$427,IF(Tabell2[[#This Row],[Beftettotal]]&gt;=E$428,E$428,Tabell2[[#This Row],[Beftettotal]]))</f>
        <v>5.8522683958224038</v>
      </c>
      <c r="O354" s="32">
        <f>IF(Tabell2[[#This Row],[Befvekst10]]&lt;=F$427,F$427,IF(Tabell2[[#This Row],[Befvekst10]]&gt;=F$428,F$428,Tabell2[[#This Row],[Befvekst10]]))</f>
        <v>3.616514489876943E-2</v>
      </c>
      <c r="P354" s="32">
        <f>IF(Tabell2[[#This Row],[Kvinneandel]]&lt;=G$427,G$427,IF(Tabell2[[#This Row],[Kvinneandel]]&gt;=G$428,G$428,Tabell2[[#This Row],[Kvinneandel]]))</f>
        <v>0.11520631393433202</v>
      </c>
      <c r="Q354" s="32">
        <f>IF(Tabell2[[#This Row],[Eldreandel]]&lt;=H$427,H$427,IF(Tabell2[[#This Row],[Eldreandel]]&gt;=H$428,H$428,Tabell2[[#This Row],[Eldreandel]]))</f>
        <v>0.16600896517374814</v>
      </c>
      <c r="R354" s="32">
        <f>IF(Tabell2[[#This Row],[Sysselsettingsvekst10]]&lt;=I$427,I$427,IF(Tabell2[[#This Row],[Sysselsettingsvekst10]]&gt;=I$428,I$428,Tabell2[[#This Row],[Sysselsettingsvekst10]]))</f>
        <v>0.10629178810217721</v>
      </c>
      <c r="S354" s="32">
        <f>IF(Tabell2[[#This Row],[Yrkesaktivandel]]&lt;=J$427,J$427,IF(Tabell2[[#This Row],[Yrkesaktivandel]]&gt;=J$428,J$428,Tabell2[[#This Row],[Yrkesaktivandel]]))</f>
        <v>0.84147307286166839</v>
      </c>
      <c r="T354" s="67">
        <f>IF(Tabell2[[#This Row],[Inntekt]]&lt;=K$427,K$427,IF(Tabell2[[#This Row],[Inntekt]]&gt;=K$428,K$428,Tabell2[[#This Row],[Inntekt]]))</f>
        <v>401200</v>
      </c>
      <c r="U354" s="10">
        <f>IF(Tabell2[[#This Row],[NIBR11-T]]&lt;=L$430,100,IF(Tabell2[[#This Row],[NIBR11-T]]&gt;=L$429,0,100*(L$429-Tabell2[[#This Row],[NIBR11-T]])/L$432))</f>
        <v>60</v>
      </c>
      <c r="V354" s="10">
        <f>(M$429-Tabell2[[#This Row],[ReisetidOslo-T]])*100/M$432</f>
        <v>25.559157048660563</v>
      </c>
      <c r="W354" s="10">
        <f>100-(N$429-Tabell2[[#This Row],[Beftettotal-T]])*100/N$432</f>
        <v>3.4334940518632919</v>
      </c>
      <c r="X354" s="10">
        <f>100-(O$429-Tabell2[[#This Row],[Befvekst10-T]])*100/O$432</f>
        <v>39.067705391774567</v>
      </c>
      <c r="Y354" s="10">
        <f>100-(P$429-Tabell2[[#This Row],[Kvinneandel-T]])*100/P$432</f>
        <v>66.797508314489463</v>
      </c>
      <c r="Z354" s="10">
        <f>(Q$429-Tabell2[[#This Row],[Eldreandel-T]])*100/Q$432</f>
        <v>61.505681949653237</v>
      </c>
      <c r="AA354" s="10">
        <f>100-(R$429-Tabell2[[#This Row],[Sysselsettingsvekst10-T]])*100/R$432</f>
        <v>74.5487924290031</v>
      </c>
      <c r="AB354" s="10">
        <f>100-(S$429-Tabell2[[#This Row],[Yrkesaktivandel-T]])*100/S$432</f>
        <v>34.460271057436444</v>
      </c>
      <c r="AC354" s="10">
        <f>100-(T$429-Tabell2[[#This Row],[Inntekt-T]])*100/T$432</f>
        <v>46.728868155059423</v>
      </c>
      <c r="AD35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44.701758865764333</v>
      </c>
    </row>
    <row r="355" spans="1:30" x14ac:dyDescent="0.25">
      <c r="A355" s="2" t="s">
        <v>302</v>
      </c>
      <c r="B355" s="2">
        <v>353</v>
      </c>
      <c r="C355">
        <f>'Rådata-K'!N354</f>
        <v>11</v>
      </c>
      <c r="D355" s="30">
        <f>'Rådata-K'!M354</f>
        <v>346.875</v>
      </c>
      <c r="E355" s="32">
        <f>'Rådata-K'!O354</f>
        <v>7.2400920095026207</v>
      </c>
      <c r="F355" s="32">
        <f>'Rådata-K'!P354</f>
        <v>-2.5380710659898442E-2</v>
      </c>
      <c r="G355" s="32">
        <f>'Rådata-K'!Q354</f>
        <v>9.7916666666666666E-2</v>
      </c>
      <c r="H355" s="32">
        <f>'Rådata-K'!R354</f>
        <v>0.21041666666666667</v>
      </c>
      <c r="I355" s="32">
        <f>'Rådata-K'!S354</f>
        <v>1.7793594306049876E-2</v>
      </c>
      <c r="J355" s="32">
        <f>'Rådata-K'!T354</f>
        <v>0.83984747378455671</v>
      </c>
      <c r="K355" s="67">
        <f>'Rådata-K'!L354</f>
        <v>425100</v>
      </c>
      <c r="L355" s="18">
        <f>Tabell2[[#This Row],[NIBR11]]</f>
        <v>11</v>
      </c>
      <c r="M355" s="32">
        <f>IF(Tabell2[[#This Row],[ReisetidOslo]]&lt;=D$427,D$427,IF(Tabell2[[#This Row],[ReisetidOslo]]&gt;=D$428,D$428,Tabell2[[#This Row],[ReisetidOslo]]))</f>
        <v>286.73125000000005</v>
      </c>
      <c r="N355" s="32">
        <f>IF(Tabell2[[#This Row],[Beftettotal]]&lt;=E$427,E$427,IF(Tabell2[[#This Row],[Beftettotal]]&gt;=E$428,E$428,Tabell2[[#This Row],[Beftettotal]]))</f>
        <v>7.2400920095026207</v>
      </c>
      <c r="O355" s="32">
        <f>IF(Tabell2[[#This Row],[Befvekst10]]&lt;=F$427,F$427,IF(Tabell2[[#This Row],[Befvekst10]]&gt;=F$428,F$428,Tabell2[[#This Row],[Befvekst10]]))</f>
        <v>-2.5380710659898442E-2</v>
      </c>
      <c r="P355" s="32">
        <f>IF(Tabell2[[#This Row],[Kvinneandel]]&lt;=G$427,G$427,IF(Tabell2[[#This Row],[Kvinneandel]]&gt;=G$428,G$428,Tabell2[[#This Row],[Kvinneandel]]))</f>
        <v>9.7916666666666666E-2</v>
      </c>
      <c r="Q355" s="32">
        <f>IF(Tabell2[[#This Row],[Eldreandel]]&lt;=H$427,H$427,IF(Tabell2[[#This Row],[Eldreandel]]&gt;=H$428,H$428,Tabell2[[#This Row],[Eldreandel]]))</f>
        <v>0.21041666666666667</v>
      </c>
      <c r="R355" s="32">
        <f>IF(Tabell2[[#This Row],[Sysselsettingsvekst10]]&lt;=I$427,I$427,IF(Tabell2[[#This Row],[Sysselsettingsvekst10]]&gt;=I$428,I$428,Tabell2[[#This Row],[Sysselsettingsvekst10]]))</f>
        <v>1.7793594306049876E-2</v>
      </c>
      <c r="S355" s="32">
        <f>IF(Tabell2[[#This Row],[Yrkesaktivandel]]&lt;=J$427,J$427,IF(Tabell2[[#This Row],[Yrkesaktivandel]]&gt;=J$428,J$428,Tabell2[[#This Row],[Yrkesaktivandel]]))</f>
        <v>0.83984747378455671</v>
      </c>
      <c r="T355" s="67">
        <f>IF(Tabell2[[#This Row],[Inntekt]]&lt;=K$427,K$427,IF(Tabell2[[#This Row],[Inntekt]]&gt;=K$428,K$428,Tabell2[[#This Row],[Inntekt]]))</f>
        <v>425100</v>
      </c>
      <c r="U355" s="10">
        <f>IF(Tabell2[[#This Row],[NIBR11-T]]&lt;=L$430,100,IF(Tabell2[[#This Row],[NIBR11-T]]&gt;=L$429,0,100*(L$429-Tabell2[[#This Row],[NIBR11-T]])/L$432))</f>
        <v>0</v>
      </c>
      <c r="V355" s="10">
        <f>(M$429-Tabell2[[#This Row],[ReisetidOslo-T]])*100/M$432</f>
        <v>0</v>
      </c>
      <c r="W355" s="10">
        <f>100-(N$429-Tabell2[[#This Row],[Beftettotal-T]])*100/N$432</f>
        <v>4.4678471255699606</v>
      </c>
      <c r="X355" s="10">
        <f>100-(O$429-Tabell2[[#This Row],[Befvekst10-T]])*100/O$432</f>
        <v>12.555301458030002</v>
      </c>
      <c r="Y355" s="10">
        <f>100-(P$429-Tabell2[[#This Row],[Kvinneandel-T]])*100/P$432</f>
        <v>21.130307783748506</v>
      </c>
      <c r="Z355" s="10">
        <f>(Q$429-Tabell2[[#This Row],[Eldreandel-T]])*100/Q$432</f>
        <v>13.606990245412225</v>
      </c>
      <c r="AA355" s="10">
        <f>100-(R$429-Tabell2[[#This Row],[Sysselsettingsvekst10-T]])*100/R$432</f>
        <v>43.588218283530189</v>
      </c>
      <c r="AB355" s="10">
        <f>100-(S$429-Tabell2[[#This Row],[Yrkesaktivandel-T]])*100/S$432</f>
        <v>33.199385114739997</v>
      </c>
      <c r="AC355" s="10">
        <f>100-(T$429-Tabell2[[#This Row],[Inntekt-T]])*100/T$432</f>
        <v>73.275574808397209</v>
      </c>
      <c r="AD35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19.701027726287773</v>
      </c>
    </row>
    <row r="356" spans="1:30" x14ac:dyDescent="0.25">
      <c r="A356" s="2" t="s">
        <v>303</v>
      </c>
      <c r="B356" s="2">
        <v>354</v>
      </c>
      <c r="C356">
        <f>'Rådata-K'!N355</f>
        <v>11</v>
      </c>
      <c r="D356" s="30">
        <f>'Rådata-K'!M355</f>
        <v>575.75</v>
      </c>
      <c r="E356" s="32">
        <f>'Rådata-K'!O355</f>
        <v>28.147699757869251</v>
      </c>
      <c r="F356" s="32">
        <f>'Rådata-K'!P355</f>
        <v>4.2600896860986559E-2</v>
      </c>
      <c r="G356" s="32">
        <f>'Rådata-K'!Q355</f>
        <v>0.12258064516129032</v>
      </c>
      <c r="H356" s="32">
        <f>'Rådata-K'!R355</f>
        <v>0.14838709677419354</v>
      </c>
      <c r="I356" s="32">
        <f>'Rådata-K'!S355</f>
        <v>6.7632850241545972E-2</v>
      </c>
      <c r="J356" s="32">
        <f>'Rådata-K'!T355</f>
        <v>0.84782608695652173</v>
      </c>
      <c r="K356" s="67">
        <f>'Rådata-K'!L355</f>
        <v>371800</v>
      </c>
      <c r="L356" s="18">
        <f>Tabell2[[#This Row],[NIBR11]]</f>
        <v>11</v>
      </c>
      <c r="M356" s="32">
        <f>IF(Tabell2[[#This Row],[ReisetidOslo]]&lt;=D$427,D$427,IF(Tabell2[[#This Row],[ReisetidOslo]]&gt;=D$428,D$428,Tabell2[[#This Row],[ReisetidOslo]]))</f>
        <v>286.73125000000005</v>
      </c>
      <c r="N356" s="32">
        <f>IF(Tabell2[[#This Row],[Beftettotal]]&lt;=E$427,E$427,IF(Tabell2[[#This Row],[Beftettotal]]&gt;=E$428,E$428,Tabell2[[#This Row],[Beftettotal]]))</f>
        <v>28.147699757869251</v>
      </c>
      <c r="O356" s="32">
        <f>IF(Tabell2[[#This Row],[Befvekst10]]&lt;=F$427,F$427,IF(Tabell2[[#This Row],[Befvekst10]]&gt;=F$428,F$428,Tabell2[[#This Row],[Befvekst10]]))</f>
        <v>4.2600896860986559E-2</v>
      </c>
      <c r="P356" s="32">
        <f>IF(Tabell2[[#This Row],[Kvinneandel]]&lt;=G$427,G$427,IF(Tabell2[[#This Row],[Kvinneandel]]&gt;=G$428,G$428,Tabell2[[#This Row],[Kvinneandel]]))</f>
        <v>0.12258064516129032</v>
      </c>
      <c r="Q356" s="32">
        <f>IF(Tabell2[[#This Row],[Eldreandel]]&lt;=H$427,H$427,IF(Tabell2[[#This Row],[Eldreandel]]&gt;=H$428,H$428,Tabell2[[#This Row],[Eldreandel]]))</f>
        <v>0.14838709677419354</v>
      </c>
      <c r="R356" s="32">
        <f>IF(Tabell2[[#This Row],[Sysselsettingsvekst10]]&lt;=I$427,I$427,IF(Tabell2[[#This Row],[Sysselsettingsvekst10]]&gt;=I$428,I$428,Tabell2[[#This Row],[Sysselsettingsvekst10]]))</f>
        <v>6.7632850241545972E-2</v>
      </c>
      <c r="S356" s="32">
        <f>IF(Tabell2[[#This Row],[Yrkesaktivandel]]&lt;=J$427,J$427,IF(Tabell2[[#This Row],[Yrkesaktivandel]]&gt;=J$428,J$428,Tabell2[[#This Row],[Yrkesaktivandel]]))</f>
        <v>0.84782608695652173</v>
      </c>
      <c r="T356" s="67">
        <f>IF(Tabell2[[#This Row],[Inntekt]]&lt;=K$427,K$427,IF(Tabell2[[#This Row],[Inntekt]]&gt;=K$428,K$428,Tabell2[[#This Row],[Inntekt]]))</f>
        <v>371800</v>
      </c>
      <c r="U356" s="10">
        <f>IF(Tabell2[[#This Row],[NIBR11-T]]&lt;=L$430,100,IF(Tabell2[[#This Row],[NIBR11-T]]&gt;=L$429,0,100*(L$429-Tabell2[[#This Row],[NIBR11-T]])/L$432))</f>
        <v>0</v>
      </c>
      <c r="V356" s="10">
        <f>(M$429-Tabell2[[#This Row],[ReisetidOslo-T]])*100/M$432</f>
        <v>0</v>
      </c>
      <c r="W356" s="10">
        <f>100-(N$429-Tabell2[[#This Row],[Beftettotal-T]])*100/N$432</f>
        <v>20.050409725891413</v>
      </c>
      <c r="X356" s="10">
        <f>100-(O$429-Tabell2[[#This Row],[Befvekst10-T]])*100/O$432</f>
        <v>41.840065189048673</v>
      </c>
      <c r="Y356" s="10">
        <f>100-(P$429-Tabell2[[#This Row],[Kvinneandel-T]])*100/P$432</f>
        <v>86.275352929134598</v>
      </c>
      <c r="Z356" s="10">
        <f>(Q$429-Tabell2[[#This Row],[Eldreandel-T]])*100/Q$432</f>
        <v>80.512845422357884</v>
      </c>
      <c r="AA356" s="10">
        <f>100-(R$429-Tabell2[[#This Row],[Sysselsettingsvekst10-T]])*100/R$432</f>
        <v>61.024189714775957</v>
      </c>
      <c r="AB356" s="10">
        <f>100-(S$429-Tabell2[[#This Row],[Yrkesaktivandel-T]])*100/S$432</f>
        <v>39.387947431481649</v>
      </c>
      <c r="AC356" s="10">
        <f>100-(T$429-Tabell2[[#This Row],[Inntekt-T]])*100/T$432</f>
        <v>14.073086748861485</v>
      </c>
      <c r="AD35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30.160986317485413</v>
      </c>
    </row>
    <row r="357" spans="1:30" x14ac:dyDescent="0.25">
      <c r="A357" s="2" t="s">
        <v>304</v>
      </c>
      <c r="B357" s="2">
        <v>355</v>
      </c>
      <c r="C357">
        <f>'Rådata-K'!N356</f>
        <v>11</v>
      </c>
      <c r="D357" s="30">
        <f>'Rådata-K'!M356</f>
        <v>352.375</v>
      </c>
      <c r="E357" s="32">
        <f>'Rådata-K'!O356</f>
        <v>1.7812706491023353</v>
      </c>
      <c r="F357" s="32">
        <f>'Rådata-K'!P356</f>
        <v>-5.6589724497393856E-2</v>
      </c>
      <c r="G357" s="32">
        <f>'Rådata-K'!Q356</f>
        <v>9.3133385951065503E-2</v>
      </c>
      <c r="H357" s="32">
        <f>'Rådata-K'!R356</f>
        <v>0.18784530386740331</v>
      </c>
      <c r="I357" s="32">
        <f>'Rådata-K'!S356</f>
        <v>-0.15780730897009965</v>
      </c>
      <c r="J357" s="32">
        <f>'Rådata-K'!T356</f>
        <v>0.90526315789473688</v>
      </c>
      <c r="K357" s="67">
        <f>'Rådata-K'!L356</f>
        <v>376100</v>
      </c>
      <c r="L357" s="18">
        <f>Tabell2[[#This Row],[NIBR11]]</f>
        <v>11</v>
      </c>
      <c r="M357" s="32">
        <f>IF(Tabell2[[#This Row],[ReisetidOslo]]&lt;=D$427,D$427,IF(Tabell2[[#This Row],[ReisetidOslo]]&gt;=D$428,D$428,Tabell2[[#This Row],[ReisetidOslo]]))</f>
        <v>286.73125000000005</v>
      </c>
      <c r="N357" s="32">
        <f>IF(Tabell2[[#This Row],[Beftettotal]]&lt;=E$427,E$427,IF(Tabell2[[#This Row],[Beftettotal]]&gt;=E$428,E$428,Tabell2[[#This Row],[Beftettotal]]))</f>
        <v>1.7812706491023353</v>
      </c>
      <c r="O357" s="32">
        <f>IF(Tabell2[[#This Row],[Befvekst10]]&lt;=F$427,F$427,IF(Tabell2[[#This Row],[Befvekst10]]&gt;=F$428,F$428,Tabell2[[#This Row],[Befvekst10]]))</f>
        <v>-5.4526569027269343E-2</v>
      </c>
      <c r="P357" s="32">
        <f>IF(Tabell2[[#This Row],[Kvinneandel]]&lt;=G$427,G$427,IF(Tabell2[[#This Row],[Kvinneandel]]&gt;=G$428,G$428,Tabell2[[#This Row],[Kvinneandel]]))</f>
        <v>9.3133385951065503E-2</v>
      </c>
      <c r="Q357" s="32">
        <f>IF(Tabell2[[#This Row],[Eldreandel]]&lt;=H$427,H$427,IF(Tabell2[[#This Row],[Eldreandel]]&gt;=H$428,H$428,Tabell2[[#This Row],[Eldreandel]]))</f>
        <v>0.18784530386740331</v>
      </c>
      <c r="R357" s="32">
        <f>IF(Tabell2[[#This Row],[Sysselsettingsvekst10]]&lt;=I$427,I$427,IF(Tabell2[[#This Row],[Sysselsettingsvekst10]]&gt;=I$428,I$428,Tabell2[[#This Row],[Sysselsettingsvekst10]]))</f>
        <v>-0.10679965679965678</v>
      </c>
      <c r="S357" s="32">
        <f>IF(Tabell2[[#This Row],[Yrkesaktivandel]]&lt;=J$427,J$427,IF(Tabell2[[#This Row],[Yrkesaktivandel]]&gt;=J$428,J$428,Tabell2[[#This Row],[Yrkesaktivandel]]))</f>
        <v>0.90526315789473688</v>
      </c>
      <c r="T357" s="67">
        <f>IF(Tabell2[[#This Row],[Inntekt]]&lt;=K$427,K$427,IF(Tabell2[[#This Row],[Inntekt]]&gt;=K$428,K$428,Tabell2[[#This Row],[Inntekt]]))</f>
        <v>376100</v>
      </c>
      <c r="U357" s="10">
        <f>IF(Tabell2[[#This Row],[NIBR11-T]]&lt;=L$430,100,IF(Tabell2[[#This Row],[NIBR11-T]]&gt;=L$429,0,100*(L$429-Tabell2[[#This Row],[NIBR11-T]])/L$432))</f>
        <v>0</v>
      </c>
      <c r="V357" s="10">
        <f>(M$429-Tabell2[[#This Row],[ReisetidOslo-T]])*100/M$432</f>
        <v>0</v>
      </c>
      <c r="W357" s="10">
        <f>100-(N$429-Tabell2[[#This Row],[Beftettotal-T]])*100/N$432</f>
        <v>0.399355569951652</v>
      </c>
      <c r="X357" s="10">
        <f>100-(O$429-Tabell2[[#This Row],[Befvekst10-T]])*100/O$432</f>
        <v>0</v>
      </c>
      <c r="Y357" s="10">
        <f>100-(P$429-Tabell2[[#This Row],[Kvinneandel-T]])*100/P$432</f>
        <v>8.496213157497607</v>
      </c>
      <c r="Z357" s="10">
        <f>(Q$429-Tabell2[[#This Row],[Eldreandel-T]])*100/Q$432</f>
        <v>37.952739106989618</v>
      </c>
      <c r="AA357" s="10">
        <f>100-(R$429-Tabell2[[#This Row],[Sysselsettingsvekst10-T]])*100/R$432</f>
        <v>0</v>
      </c>
      <c r="AB357" s="10">
        <f>100-(S$429-Tabell2[[#This Row],[Yrkesaktivandel-T]])*100/S$432</f>
        <v>83.938658830955745</v>
      </c>
      <c r="AC357" s="10">
        <f>100-(T$429-Tabell2[[#This Row],[Inntekt-T]])*100/T$432</f>
        <v>18.849272464733971</v>
      </c>
      <c r="AD35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12.6411762997885</v>
      </c>
    </row>
    <row r="358" spans="1:30" x14ac:dyDescent="0.25">
      <c r="A358" s="2" t="s">
        <v>305</v>
      </c>
      <c r="B358" s="2">
        <v>356</v>
      </c>
      <c r="C358">
        <f>'Rådata-K'!N357</f>
        <v>10</v>
      </c>
      <c r="D358" s="30">
        <f>'Rådata-K'!M357</f>
        <v>281.4375</v>
      </c>
      <c r="E358" s="32">
        <f>'Rådata-K'!O357</f>
        <v>7.3641326116063759</v>
      </c>
      <c r="F358" s="32">
        <f>'Rådata-K'!P357</f>
        <v>-3.4218820351193169E-2</v>
      </c>
      <c r="G358" s="32">
        <f>'Rådata-K'!Q357</f>
        <v>0.10209790209790209</v>
      </c>
      <c r="H358" s="32">
        <f>'Rådata-K'!R357</f>
        <v>0.18010878010878012</v>
      </c>
      <c r="I358" s="32">
        <f>'Rådata-K'!S357</f>
        <v>-3.4809057113889819E-2</v>
      </c>
      <c r="J358" s="32">
        <f>'Rådata-K'!T357</f>
        <v>0.84881756756756754</v>
      </c>
      <c r="K358" s="67">
        <f>'Rådata-K'!L357</f>
        <v>401300</v>
      </c>
      <c r="L358" s="18">
        <f>Tabell2[[#This Row],[NIBR11]]</f>
        <v>10</v>
      </c>
      <c r="M358" s="32">
        <f>IF(Tabell2[[#This Row],[ReisetidOslo]]&lt;=D$427,D$427,IF(Tabell2[[#This Row],[ReisetidOslo]]&gt;=D$428,D$428,Tabell2[[#This Row],[ReisetidOslo]]))</f>
        <v>281.4375</v>
      </c>
      <c r="N358" s="32">
        <f>IF(Tabell2[[#This Row],[Beftettotal]]&lt;=E$427,E$427,IF(Tabell2[[#This Row],[Beftettotal]]&gt;=E$428,E$428,Tabell2[[#This Row],[Beftettotal]]))</f>
        <v>7.3641326116063759</v>
      </c>
      <c r="O358" s="32">
        <f>IF(Tabell2[[#This Row],[Befvekst10]]&lt;=F$427,F$427,IF(Tabell2[[#This Row],[Befvekst10]]&gt;=F$428,F$428,Tabell2[[#This Row],[Befvekst10]]))</f>
        <v>-3.4218820351193169E-2</v>
      </c>
      <c r="P358" s="32">
        <f>IF(Tabell2[[#This Row],[Kvinneandel]]&lt;=G$427,G$427,IF(Tabell2[[#This Row],[Kvinneandel]]&gt;=G$428,G$428,Tabell2[[#This Row],[Kvinneandel]]))</f>
        <v>0.10209790209790209</v>
      </c>
      <c r="Q358" s="32">
        <f>IF(Tabell2[[#This Row],[Eldreandel]]&lt;=H$427,H$427,IF(Tabell2[[#This Row],[Eldreandel]]&gt;=H$428,H$428,Tabell2[[#This Row],[Eldreandel]]))</f>
        <v>0.18010878010878012</v>
      </c>
      <c r="R358" s="32">
        <f>IF(Tabell2[[#This Row],[Sysselsettingsvekst10]]&lt;=I$427,I$427,IF(Tabell2[[#This Row],[Sysselsettingsvekst10]]&gt;=I$428,I$428,Tabell2[[#This Row],[Sysselsettingsvekst10]]))</f>
        <v>-3.4809057113889819E-2</v>
      </c>
      <c r="S358" s="32">
        <f>IF(Tabell2[[#This Row],[Yrkesaktivandel]]&lt;=J$427,J$427,IF(Tabell2[[#This Row],[Yrkesaktivandel]]&gt;=J$428,J$428,Tabell2[[#This Row],[Yrkesaktivandel]]))</f>
        <v>0.84881756756756754</v>
      </c>
      <c r="T358" s="67">
        <f>IF(Tabell2[[#This Row],[Inntekt]]&lt;=K$427,K$427,IF(Tabell2[[#This Row],[Inntekt]]&gt;=K$428,K$428,Tabell2[[#This Row],[Inntekt]]))</f>
        <v>401300</v>
      </c>
      <c r="U358" s="10">
        <f>IF(Tabell2[[#This Row],[NIBR11-T]]&lt;=L$430,100,IF(Tabell2[[#This Row],[NIBR11-T]]&gt;=L$429,0,100*(L$429-Tabell2[[#This Row],[NIBR11-T]])/L$432))</f>
        <v>10</v>
      </c>
      <c r="V358" s="10">
        <f>(M$429-Tabell2[[#This Row],[ReisetidOslo-T]])*100/M$432</f>
        <v>2.2807212410678113</v>
      </c>
      <c r="W358" s="10">
        <f>100-(N$429-Tabell2[[#This Row],[Beftettotal-T]])*100/N$432</f>
        <v>4.5602953133553115</v>
      </c>
      <c r="X358" s="10">
        <f>100-(O$429-Tabell2[[#This Row],[Befvekst10-T]])*100/O$432</f>
        <v>8.7480664782028725</v>
      </c>
      <c r="Y358" s="10">
        <f>100-(P$429-Tabell2[[#This Row],[Kvinneandel-T]])*100/P$432</f>
        <v>32.174218278184583</v>
      </c>
      <c r="Z358" s="10">
        <f>(Q$429-Tabell2[[#This Row],[Eldreandel-T]])*100/Q$432</f>
        <v>46.297448558703096</v>
      </c>
      <c r="AA358" s="10">
        <f>100-(R$429-Tabell2[[#This Row],[Sysselsettingsvekst10-T]])*100/R$432</f>
        <v>25.185489146624619</v>
      </c>
      <c r="AB358" s="10">
        <f>100-(S$429-Tabell2[[#This Row],[Yrkesaktivandel-T]])*100/S$432</f>
        <v>40.15698327957341</v>
      </c>
      <c r="AC358" s="10">
        <f>100-(T$429-Tabell2[[#This Row],[Inntekt-T]])*100/T$432</f>
        <v>46.839942241475065</v>
      </c>
      <c r="AD35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19.575539759694582</v>
      </c>
    </row>
    <row r="359" spans="1:30" x14ac:dyDescent="0.25">
      <c r="A359" s="2" t="s">
        <v>306</v>
      </c>
      <c r="B359" s="2">
        <v>357</v>
      </c>
      <c r="C359">
        <f>'Rådata-K'!N358</f>
        <v>8</v>
      </c>
      <c r="D359" s="30">
        <f>'Rådata-K'!M358</f>
        <v>258.625</v>
      </c>
      <c r="E359" s="32">
        <f>'Rådata-K'!O358</f>
        <v>3.0450743214780047</v>
      </c>
      <c r="F359" s="32">
        <f>'Rådata-K'!P358</f>
        <v>-2.7390677558865928E-2</v>
      </c>
      <c r="G359" s="32">
        <f>'Rådata-K'!Q358</f>
        <v>9.9802371541501983E-2</v>
      </c>
      <c r="H359" s="32">
        <f>'Rådata-K'!R358</f>
        <v>0.21590909090909091</v>
      </c>
      <c r="I359" s="32">
        <f>'Rådata-K'!S358</f>
        <v>2.6854219948849067E-2</v>
      </c>
      <c r="J359" s="32">
        <f>'Rådata-K'!T358</f>
        <v>0.83559168925022587</v>
      </c>
      <c r="K359" s="67">
        <f>'Rådata-K'!L358</f>
        <v>377000</v>
      </c>
      <c r="L359" s="18">
        <f>Tabell2[[#This Row],[NIBR11]]</f>
        <v>8</v>
      </c>
      <c r="M359" s="32">
        <f>IF(Tabell2[[#This Row],[ReisetidOslo]]&lt;=D$427,D$427,IF(Tabell2[[#This Row],[ReisetidOslo]]&gt;=D$428,D$428,Tabell2[[#This Row],[ReisetidOslo]]))</f>
        <v>258.625</v>
      </c>
      <c r="N359" s="32">
        <f>IF(Tabell2[[#This Row],[Beftettotal]]&lt;=E$427,E$427,IF(Tabell2[[#This Row],[Beftettotal]]&gt;=E$428,E$428,Tabell2[[#This Row],[Beftettotal]]))</f>
        <v>3.0450743214780047</v>
      </c>
      <c r="O359" s="32">
        <f>IF(Tabell2[[#This Row],[Befvekst10]]&lt;=F$427,F$427,IF(Tabell2[[#This Row],[Befvekst10]]&gt;=F$428,F$428,Tabell2[[#This Row],[Befvekst10]]))</f>
        <v>-2.7390677558865928E-2</v>
      </c>
      <c r="P359" s="32">
        <f>IF(Tabell2[[#This Row],[Kvinneandel]]&lt;=G$427,G$427,IF(Tabell2[[#This Row],[Kvinneandel]]&gt;=G$428,G$428,Tabell2[[#This Row],[Kvinneandel]]))</f>
        <v>9.9802371541501983E-2</v>
      </c>
      <c r="Q359" s="32">
        <f>IF(Tabell2[[#This Row],[Eldreandel]]&lt;=H$427,H$427,IF(Tabell2[[#This Row],[Eldreandel]]&gt;=H$428,H$428,Tabell2[[#This Row],[Eldreandel]]))</f>
        <v>0.21590909090909091</v>
      </c>
      <c r="R359" s="32">
        <f>IF(Tabell2[[#This Row],[Sysselsettingsvekst10]]&lt;=I$427,I$427,IF(Tabell2[[#This Row],[Sysselsettingsvekst10]]&gt;=I$428,I$428,Tabell2[[#This Row],[Sysselsettingsvekst10]]))</f>
        <v>2.6854219948849067E-2</v>
      </c>
      <c r="S359" s="32">
        <f>IF(Tabell2[[#This Row],[Yrkesaktivandel]]&lt;=J$427,J$427,IF(Tabell2[[#This Row],[Yrkesaktivandel]]&gt;=J$428,J$428,Tabell2[[#This Row],[Yrkesaktivandel]]))</f>
        <v>0.83559168925022587</v>
      </c>
      <c r="T359" s="67">
        <f>IF(Tabell2[[#This Row],[Inntekt]]&lt;=K$427,K$427,IF(Tabell2[[#This Row],[Inntekt]]&gt;=K$428,K$428,Tabell2[[#This Row],[Inntekt]]))</f>
        <v>377000</v>
      </c>
      <c r="U359" s="10">
        <f>IF(Tabell2[[#This Row],[NIBR11-T]]&lt;=L$430,100,IF(Tabell2[[#This Row],[NIBR11-T]]&gt;=L$429,0,100*(L$429-Tabell2[[#This Row],[NIBR11-T]])/L$432))</f>
        <v>30</v>
      </c>
      <c r="V359" s="10">
        <f>(M$429-Tabell2[[#This Row],[ReisetidOslo-T]])*100/M$432</f>
        <v>12.109094948148615</v>
      </c>
      <c r="W359" s="10">
        <f>100-(N$429-Tabell2[[#This Row],[Beftettotal-T]])*100/N$432</f>
        <v>1.3412758544877335</v>
      </c>
      <c r="X359" s="10">
        <f>100-(O$429-Tabell2[[#This Row],[Befvekst10-T]])*100/O$432</f>
        <v>11.689458358845457</v>
      </c>
      <c r="Y359" s="10">
        <f>100-(P$429-Tabell2[[#This Row],[Kvinneandel-T]])*100/P$432</f>
        <v>26.111026090359076</v>
      </c>
      <c r="Z359" s="10">
        <f>(Q$429-Tabell2[[#This Row],[Eldreandel-T]])*100/Q$432</f>
        <v>7.6827940665415309</v>
      </c>
      <c r="AA359" s="10">
        <f>100-(R$429-Tabell2[[#This Row],[Sysselsettingsvekst10-T]])*100/R$432</f>
        <v>46.75802503308369</v>
      </c>
      <c r="AB359" s="10">
        <f>100-(S$429-Tabell2[[#This Row],[Yrkesaktivandel-T]])*100/S$432</f>
        <v>29.898411971954403</v>
      </c>
      <c r="AC359" s="10">
        <f>100-(T$429-Tabell2[[#This Row],[Inntekt-T]])*100/T$432</f>
        <v>19.848939242474728</v>
      </c>
      <c r="AD35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21.023157384629037</v>
      </c>
    </row>
    <row r="360" spans="1:30" x14ac:dyDescent="0.25">
      <c r="A360" s="2" t="s">
        <v>307</v>
      </c>
      <c r="B360" s="2">
        <v>358</v>
      </c>
      <c r="C360">
        <f>'Rådata-K'!N359</f>
        <v>11</v>
      </c>
      <c r="D360" s="30">
        <f>'Rådata-K'!M359</f>
        <v>273.5625</v>
      </c>
      <c r="E360" s="32">
        <f>'Rådata-K'!O359</f>
        <v>0.8532953727338175</v>
      </c>
      <c r="F360" s="32">
        <f>'Rådata-K'!P359</f>
        <v>-9.1463414634146312E-2</v>
      </c>
      <c r="G360" s="32">
        <f>'Rådata-K'!Q359</f>
        <v>8.5330776605944389E-2</v>
      </c>
      <c r="H360" s="32">
        <f>'Rådata-K'!R359</f>
        <v>0.25311601150527324</v>
      </c>
      <c r="I360" s="32">
        <f>'Rådata-K'!S359</f>
        <v>4.6620046620047262E-3</v>
      </c>
      <c r="J360" s="32">
        <f>'Rådata-K'!T359</f>
        <v>0.85098743267504484</v>
      </c>
      <c r="K360" s="67">
        <f>'Rådata-K'!L359</f>
        <v>334200</v>
      </c>
      <c r="L360" s="18">
        <f>Tabell2[[#This Row],[NIBR11]]</f>
        <v>11</v>
      </c>
      <c r="M360" s="32">
        <f>IF(Tabell2[[#This Row],[ReisetidOslo]]&lt;=D$427,D$427,IF(Tabell2[[#This Row],[ReisetidOslo]]&gt;=D$428,D$428,Tabell2[[#This Row],[ReisetidOslo]]))</f>
        <v>273.5625</v>
      </c>
      <c r="N360" s="32">
        <f>IF(Tabell2[[#This Row],[Beftettotal]]&lt;=E$427,E$427,IF(Tabell2[[#This Row],[Beftettotal]]&gt;=E$428,E$428,Tabell2[[#This Row],[Beftettotal]]))</f>
        <v>1.2454428893921135</v>
      </c>
      <c r="O360" s="32">
        <f>IF(Tabell2[[#This Row],[Befvekst10]]&lt;=F$427,F$427,IF(Tabell2[[#This Row],[Befvekst10]]&gt;=F$428,F$428,Tabell2[[#This Row],[Befvekst10]]))</f>
        <v>-5.4526569027269343E-2</v>
      </c>
      <c r="P360" s="32">
        <f>IF(Tabell2[[#This Row],[Kvinneandel]]&lt;=G$427,G$427,IF(Tabell2[[#This Row],[Kvinneandel]]&gt;=G$428,G$428,Tabell2[[#This Row],[Kvinneandel]]))</f>
        <v>8.9916711250255951E-2</v>
      </c>
      <c r="Q360" s="32">
        <f>IF(Tabell2[[#This Row],[Eldreandel]]&lt;=H$427,H$427,IF(Tabell2[[#This Row],[Eldreandel]]&gt;=H$428,H$428,Tabell2[[#This Row],[Eldreandel]]))</f>
        <v>0.22303194152148736</v>
      </c>
      <c r="R360" s="32">
        <f>IF(Tabell2[[#This Row],[Sysselsettingsvekst10]]&lt;=I$427,I$427,IF(Tabell2[[#This Row],[Sysselsettingsvekst10]]&gt;=I$428,I$428,Tabell2[[#This Row],[Sysselsettingsvekst10]]))</f>
        <v>4.6620046620047262E-3</v>
      </c>
      <c r="S360" s="32">
        <f>IF(Tabell2[[#This Row],[Yrkesaktivandel]]&lt;=J$427,J$427,IF(Tabell2[[#This Row],[Yrkesaktivandel]]&gt;=J$428,J$428,Tabell2[[#This Row],[Yrkesaktivandel]]))</f>
        <v>0.85098743267504484</v>
      </c>
      <c r="T360" s="67">
        <f>IF(Tabell2[[#This Row],[Inntekt]]&lt;=K$427,K$427,IF(Tabell2[[#This Row],[Inntekt]]&gt;=K$428,K$428,Tabell2[[#This Row],[Inntekt]]))</f>
        <v>359130</v>
      </c>
      <c r="U360" s="10">
        <f>IF(Tabell2[[#This Row],[NIBR11-T]]&lt;=L$430,100,IF(Tabell2[[#This Row],[NIBR11-T]]&gt;=L$429,0,100*(L$429-Tabell2[[#This Row],[NIBR11-T]])/L$432))</f>
        <v>0</v>
      </c>
      <c r="V360" s="10">
        <f>(M$429-Tabell2[[#This Row],[ReisetidOslo-T]])*100/M$432</f>
        <v>5.6735296988546091</v>
      </c>
      <c r="W360" s="10">
        <f>100-(N$429-Tabell2[[#This Row],[Beftettotal-T]])*100/N$432</f>
        <v>0</v>
      </c>
      <c r="X360" s="10">
        <f>100-(O$429-Tabell2[[#This Row],[Befvekst10-T]])*100/O$432</f>
        <v>0</v>
      </c>
      <c r="Y360" s="10">
        <f>100-(P$429-Tabell2[[#This Row],[Kvinneandel-T]])*100/P$432</f>
        <v>0</v>
      </c>
      <c r="Z360" s="10">
        <f>(Q$429-Tabell2[[#This Row],[Eldreandel-T]])*100/Q$432</f>
        <v>0</v>
      </c>
      <c r="AA360" s="10">
        <f>100-(R$429-Tabell2[[#This Row],[Sysselsettingsvekst10-T]])*100/R$432</f>
        <v>38.994208650305616</v>
      </c>
      <c r="AB360" s="10">
        <f>100-(S$429-Tabell2[[#This Row],[Yrkesaktivandel-T]])*100/S$432</f>
        <v>41.840025826833454</v>
      </c>
      <c r="AC360" s="10">
        <f>100-(T$429-Tabell2[[#This Row],[Inntekt-T]])*100/T$432</f>
        <v>0</v>
      </c>
      <c r="AD36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8.6507764175993671</v>
      </c>
    </row>
    <row r="361" spans="1:30" x14ac:dyDescent="0.25">
      <c r="A361" s="2" t="s">
        <v>308</v>
      </c>
      <c r="B361" s="2">
        <v>359</v>
      </c>
      <c r="C361">
        <f>'Rådata-K'!N360</f>
        <v>6</v>
      </c>
      <c r="D361" s="30">
        <f>'Rådata-K'!M360</f>
        <v>257.25</v>
      </c>
      <c r="E361" s="32">
        <f>'Rådata-K'!O360</f>
        <v>2.1216783910981558</v>
      </c>
      <c r="F361" s="32">
        <f>'Rådata-K'!P360</f>
        <v>2.9863481228669109E-3</v>
      </c>
      <c r="G361" s="32">
        <f>'Rådata-K'!Q360</f>
        <v>0.10144619310931519</v>
      </c>
      <c r="H361" s="32">
        <f>'Rådata-K'!R360</f>
        <v>0.19821352615908125</v>
      </c>
      <c r="I361" s="32">
        <f>'Rådata-K'!S360</f>
        <v>-9.5877277085332224E-4</v>
      </c>
      <c r="J361" s="32">
        <f>'Rådata-K'!T360</f>
        <v>0.84886843114691213</v>
      </c>
      <c r="K361" s="67">
        <f>'Rådata-K'!L360</f>
        <v>373500</v>
      </c>
      <c r="L361" s="18">
        <f>Tabell2[[#This Row],[NIBR11]]</f>
        <v>6</v>
      </c>
      <c r="M361" s="32">
        <f>IF(Tabell2[[#This Row],[ReisetidOslo]]&lt;=D$427,D$427,IF(Tabell2[[#This Row],[ReisetidOslo]]&gt;=D$428,D$428,Tabell2[[#This Row],[ReisetidOslo]]))</f>
        <v>257.25</v>
      </c>
      <c r="N361" s="32">
        <f>IF(Tabell2[[#This Row],[Beftettotal]]&lt;=E$427,E$427,IF(Tabell2[[#This Row],[Beftettotal]]&gt;=E$428,E$428,Tabell2[[#This Row],[Beftettotal]]))</f>
        <v>2.1216783910981558</v>
      </c>
      <c r="O361" s="32">
        <f>IF(Tabell2[[#This Row],[Befvekst10]]&lt;=F$427,F$427,IF(Tabell2[[#This Row],[Befvekst10]]&gt;=F$428,F$428,Tabell2[[#This Row],[Befvekst10]]))</f>
        <v>2.9863481228669109E-3</v>
      </c>
      <c r="P361" s="32">
        <f>IF(Tabell2[[#This Row],[Kvinneandel]]&lt;=G$427,G$427,IF(Tabell2[[#This Row],[Kvinneandel]]&gt;=G$428,G$428,Tabell2[[#This Row],[Kvinneandel]]))</f>
        <v>0.10144619310931519</v>
      </c>
      <c r="Q361" s="32">
        <f>IF(Tabell2[[#This Row],[Eldreandel]]&lt;=H$427,H$427,IF(Tabell2[[#This Row],[Eldreandel]]&gt;=H$428,H$428,Tabell2[[#This Row],[Eldreandel]]))</f>
        <v>0.19821352615908125</v>
      </c>
      <c r="R361" s="32">
        <f>IF(Tabell2[[#This Row],[Sysselsettingsvekst10]]&lt;=I$427,I$427,IF(Tabell2[[#This Row],[Sysselsettingsvekst10]]&gt;=I$428,I$428,Tabell2[[#This Row],[Sysselsettingsvekst10]]))</f>
        <v>-9.5877277085332224E-4</v>
      </c>
      <c r="S361" s="32">
        <f>IF(Tabell2[[#This Row],[Yrkesaktivandel]]&lt;=J$427,J$427,IF(Tabell2[[#This Row],[Yrkesaktivandel]]&gt;=J$428,J$428,Tabell2[[#This Row],[Yrkesaktivandel]]))</f>
        <v>0.84886843114691213</v>
      </c>
      <c r="T361" s="67">
        <f>IF(Tabell2[[#This Row],[Inntekt]]&lt;=K$427,K$427,IF(Tabell2[[#This Row],[Inntekt]]&gt;=K$428,K$428,Tabell2[[#This Row],[Inntekt]]))</f>
        <v>373500</v>
      </c>
      <c r="U361" s="10">
        <f>IF(Tabell2[[#This Row],[NIBR11-T]]&lt;=L$430,100,IF(Tabell2[[#This Row],[NIBR11-T]]&gt;=L$429,0,100*(L$429-Tabell2[[#This Row],[NIBR11-T]])/L$432))</f>
        <v>50</v>
      </c>
      <c r="V361" s="10">
        <f>(M$429-Tabell2[[#This Row],[ReisetidOslo-T]])*100/M$432</f>
        <v>12.70149007569869</v>
      </c>
      <c r="W361" s="10">
        <f>100-(N$429-Tabell2[[#This Row],[Beftettotal-T]])*100/N$432</f>
        <v>0.65306345528820486</v>
      </c>
      <c r="X361" s="10">
        <f>100-(O$429-Tabell2[[#This Row],[Befvekst10-T]])*100/O$432</f>
        <v>24.775115676780146</v>
      </c>
      <c r="Y361" s="10">
        <f>100-(P$429-Tabell2[[#This Row],[Kvinneandel-T]])*100/P$432</f>
        <v>30.452857245843319</v>
      </c>
      <c r="Z361" s="10">
        <f>(Q$429-Tabell2[[#This Row],[Eldreandel-T]])*100/Q$432</f>
        <v>26.769447327087093</v>
      </c>
      <c r="AA361" s="10">
        <f>100-(R$429-Tabell2[[#This Row],[Sysselsettingsvekst10-T]])*100/R$432</f>
        <v>37.027812625703163</v>
      </c>
      <c r="AB361" s="10">
        <f>100-(S$429-Tabell2[[#This Row],[Yrkesaktivandel-T]])*100/S$432</f>
        <v>40.196435302580674</v>
      </c>
      <c r="AC361" s="10">
        <f>100-(T$429-Tabell2[[#This Row],[Inntekt-T]])*100/T$432</f>
        <v>15.961346217927357</v>
      </c>
      <c r="AD36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28.470153131722363</v>
      </c>
    </row>
    <row r="362" spans="1:30" x14ac:dyDescent="0.25">
      <c r="A362" s="2" t="s">
        <v>309</v>
      </c>
      <c r="B362" s="2">
        <v>360</v>
      </c>
      <c r="C362">
        <f>'Rådata-K'!N361</f>
        <v>5</v>
      </c>
      <c r="D362" s="30">
        <f>'Rådata-K'!M361</f>
        <v>231.375</v>
      </c>
      <c r="E362" s="32">
        <f>'Rådata-K'!O361</f>
        <v>8.0982544927874009</v>
      </c>
      <c r="F362" s="32">
        <f>'Rådata-K'!P361</f>
        <v>2.7892234548335892E-2</v>
      </c>
      <c r="G362" s="32">
        <f>'Rådata-K'!Q361</f>
        <v>0.1072052626169185</v>
      </c>
      <c r="H362" s="32">
        <f>'Rådata-K'!R361</f>
        <v>0.18563058896083873</v>
      </c>
      <c r="I362" s="32">
        <f>'Rådata-K'!S361</f>
        <v>0.14338028169014083</v>
      </c>
      <c r="J362" s="32">
        <f>'Rådata-K'!T361</f>
        <v>0.85426049360475587</v>
      </c>
      <c r="K362" s="67">
        <f>'Rådata-K'!L361</f>
        <v>393200</v>
      </c>
      <c r="L362" s="18">
        <f>Tabell2[[#This Row],[NIBR11]]</f>
        <v>5</v>
      </c>
      <c r="M362" s="32">
        <f>IF(Tabell2[[#This Row],[ReisetidOslo]]&lt;=D$427,D$427,IF(Tabell2[[#This Row],[ReisetidOslo]]&gt;=D$428,D$428,Tabell2[[#This Row],[ReisetidOslo]]))</f>
        <v>231.375</v>
      </c>
      <c r="N362" s="32">
        <f>IF(Tabell2[[#This Row],[Beftettotal]]&lt;=E$427,E$427,IF(Tabell2[[#This Row],[Beftettotal]]&gt;=E$428,E$428,Tabell2[[#This Row],[Beftettotal]]))</f>
        <v>8.0982544927874009</v>
      </c>
      <c r="O362" s="32">
        <f>IF(Tabell2[[#This Row],[Befvekst10]]&lt;=F$427,F$427,IF(Tabell2[[#This Row],[Befvekst10]]&gt;=F$428,F$428,Tabell2[[#This Row],[Befvekst10]]))</f>
        <v>2.7892234548335892E-2</v>
      </c>
      <c r="P362" s="32">
        <f>IF(Tabell2[[#This Row],[Kvinneandel]]&lt;=G$427,G$427,IF(Tabell2[[#This Row],[Kvinneandel]]&gt;=G$428,G$428,Tabell2[[#This Row],[Kvinneandel]]))</f>
        <v>0.1072052626169185</v>
      </c>
      <c r="Q362" s="32">
        <f>IF(Tabell2[[#This Row],[Eldreandel]]&lt;=H$427,H$427,IF(Tabell2[[#This Row],[Eldreandel]]&gt;=H$428,H$428,Tabell2[[#This Row],[Eldreandel]]))</f>
        <v>0.18563058896083873</v>
      </c>
      <c r="R362" s="32">
        <f>IF(Tabell2[[#This Row],[Sysselsettingsvekst10]]&lt;=I$427,I$427,IF(Tabell2[[#This Row],[Sysselsettingsvekst10]]&gt;=I$428,I$428,Tabell2[[#This Row],[Sysselsettingsvekst10]]))</f>
        <v>0.14338028169014083</v>
      </c>
      <c r="S362" s="32">
        <f>IF(Tabell2[[#This Row],[Yrkesaktivandel]]&lt;=J$427,J$427,IF(Tabell2[[#This Row],[Yrkesaktivandel]]&gt;=J$428,J$428,Tabell2[[#This Row],[Yrkesaktivandel]]))</f>
        <v>0.85426049360475587</v>
      </c>
      <c r="T362" s="67">
        <f>IF(Tabell2[[#This Row],[Inntekt]]&lt;=K$427,K$427,IF(Tabell2[[#This Row],[Inntekt]]&gt;=K$428,K$428,Tabell2[[#This Row],[Inntekt]]))</f>
        <v>393200</v>
      </c>
      <c r="U362" s="10">
        <f>IF(Tabell2[[#This Row],[NIBR11-T]]&lt;=L$430,100,IF(Tabell2[[#This Row],[NIBR11-T]]&gt;=L$429,0,100*(L$429-Tabell2[[#This Row],[NIBR11-T]])/L$432))</f>
        <v>60</v>
      </c>
      <c r="V362" s="10">
        <f>(M$429-Tabell2[[#This Row],[ReisetidOslo-T]])*100/M$432</f>
        <v>23.849289294141027</v>
      </c>
      <c r="W362" s="10">
        <f>100-(N$429-Tabell2[[#This Row],[Beftettotal-T]])*100/N$432</f>
        <v>5.1074406542976618</v>
      </c>
      <c r="X362" s="10">
        <f>100-(O$429-Tabell2[[#This Row],[Befvekst10-T]])*100/O$432</f>
        <v>35.503944047856422</v>
      </c>
      <c r="Y362" s="10">
        <f>100-(P$429-Tabell2[[#This Row],[Kvinneandel-T]])*100/P$432</f>
        <v>45.66430592392323</v>
      </c>
      <c r="Z362" s="10">
        <f>(Q$429-Tabell2[[#This Row],[Eldreandel-T]])*100/Q$432</f>
        <v>40.341557779337258</v>
      </c>
      <c r="AA362" s="10">
        <f>100-(R$429-Tabell2[[#This Row],[Sysselsettingsvekst10-T]])*100/R$432</f>
        <v>87.523984423534998</v>
      </c>
      <c r="AB362" s="10">
        <f>100-(S$429-Tabell2[[#This Row],[Yrkesaktivandel-T]])*100/S$432</f>
        <v>44.378755439792052</v>
      </c>
      <c r="AC362" s="10">
        <f>100-(T$429-Tabell2[[#This Row],[Inntekt-T]])*100/T$432</f>
        <v>37.842941241808283</v>
      </c>
      <c r="AD36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43.271323100091706</v>
      </c>
    </row>
    <row r="363" spans="1:30" x14ac:dyDescent="0.25">
      <c r="A363" s="2" t="s">
        <v>310</v>
      </c>
      <c r="B363" s="2">
        <v>361</v>
      </c>
      <c r="C363">
        <f>'Rådata-K'!N362</f>
        <v>6</v>
      </c>
      <c r="D363" s="30">
        <f>'Rådata-K'!M362</f>
        <v>244.5625</v>
      </c>
      <c r="E363" s="32">
        <f>'Rådata-K'!O362</f>
        <v>1.1958347329526369</v>
      </c>
      <c r="F363" s="32">
        <f>'Rådata-K'!P362</f>
        <v>-6.0460652591170838E-2</v>
      </c>
      <c r="G363" s="32">
        <f>'Rådata-K'!Q362</f>
        <v>9.0398365679264556E-2</v>
      </c>
      <c r="H363" s="32">
        <f>'Rådata-K'!R362</f>
        <v>0.22012257405515834</v>
      </c>
      <c r="I363" s="32">
        <f>'Rådata-K'!S362</f>
        <v>4.1763341067285298E-2</v>
      </c>
      <c r="J363" s="32">
        <f>'Rådata-K'!T362</f>
        <v>0.87414634146341463</v>
      </c>
      <c r="K363" s="67">
        <f>'Rådata-K'!L362</f>
        <v>376200</v>
      </c>
      <c r="L363" s="18">
        <f>Tabell2[[#This Row],[NIBR11]]</f>
        <v>6</v>
      </c>
      <c r="M363" s="32">
        <f>IF(Tabell2[[#This Row],[ReisetidOslo]]&lt;=D$427,D$427,IF(Tabell2[[#This Row],[ReisetidOslo]]&gt;=D$428,D$428,Tabell2[[#This Row],[ReisetidOslo]]))</f>
        <v>244.5625</v>
      </c>
      <c r="N363" s="32">
        <f>IF(Tabell2[[#This Row],[Beftettotal]]&lt;=E$427,E$427,IF(Tabell2[[#This Row],[Beftettotal]]&gt;=E$428,E$428,Tabell2[[#This Row],[Beftettotal]]))</f>
        <v>1.2454428893921135</v>
      </c>
      <c r="O363" s="32">
        <f>IF(Tabell2[[#This Row],[Befvekst10]]&lt;=F$427,F$427,IF(Tabell2[[#This Row],[Befvekst10]]&gt;=F$428,F$428,Tabell2[[#This Row],[Befvekst10]]))</f>
        <v>-5.4526569027269343E-2</v>
      </c>
      <c r="P363" s="32">
        <f>IF(Tabell2[[#This Row],[Kvinneandel]]&lt;=G$427,G$427,IF(Tabell2[[#This Row],[Kvinneandel]]&gt;=G$428,G$428,Tabell2[[#This Row],[Kvinneandel]]))</f>
        <v>9.0398365679264556E-2</v>
      </c>
      <c r="Q363" s="32">
        <f>IF(Tabell2[[#This Row],[Eldreandel]]&lt;=H$427,H$427,IF(Tabell2[[#This Row],[Eldreandel]]&gt;=H$428,H$428,Tabell2[[#This Row],[Eldreandel]]))</f>
        <v>0.22012257405515834</v>
      </c>
      <c r="R363" s="32">
        <f>IF(Tabell2[[#This Row],[Sysselsettingsvekst10]]&lt;=I$427,I$427,IF(Tabell2[[#This Row],[Sysselsettingsvekst10]]&gt;=I$428,I$428,Tabell2[[#This Row],[Sysselsettingsvekst10]]))</f>
        <v>4.1763341067285298E-2</v>
      </c>
      <c r="S363" s="32">
        <f>IF(Tabell2[[#This Row],[Yrkesaktivandel]]&lt;=J$427,J$427,IF(Tabell2[[#This Row],[Yrkesaktivandel]]&gt;=J$428,J$428,Tabell2[[#This Row],[Yrkesaktivandel]]))</f>
        <v>0.87414634146341463</v>
      </c>
      <c r="T363" s="67">
        <f>IF(Tabell2[[#This Row],[Inntekt]]&lt;=K$427,K$427,IF(Tabell2[[#This Row],[Inntekt]]&gt;=K$428,K$428,Tabell2[[#This Row],[Inntekt]]))</f>
        <v>376200</v>
      </c>
      <c r="U363" s="10">
        <f>IF(Tabell2[[#This Row],[NIBR11-T]]&lt;=L$430,100,IF(Tabell2[[#This Row],[NIBR11-T]]&gt;=L$429,0,100*(L$429-Tabell2[[#This Row],[NIBR11-T]])/L$432))</f>
        <v>50</v>
      </c>
      <c r="V363" s="10">
        <f>(M$429-Tabell2[[#This Row],[ReisetidOslo-T]])*100/M$432</f>
        <v>18.167681479910755</v>
      </c>
      <c r="W363" s="10">
        <f>100-(N$429-Tabell2[[#This Row],[Beftettotal-T]])*100/N$432</f>
        <v>0</v>
      </c>
      <c r="X363" s="10">
        <f>100-(O$429-Tabell2[[#This Row],[Befvekst10-T]])*100/O$432</f>
        <v>0</v>
      </c>
      <c r="Y363" s="10">
        <f>100-(P$429-Tabell2[[#This Row],[Kvinneandel-T]])*100/P$432</f>
        <v>1.2721953811742281</v>
      </c>
      <c r="Z363" s="10">
        <f>(Q$429-Tabell2[[#This Row],[Eldreandel-T]])*100/Q$432</f>
        <v>3.1380794465632289</v>
      </c>
      <c r="AA363" s="10">
        <f>100-(R$429-Tabell2[[#This Row],[Sysselsettingsvekst10-T]])*100/R$432</f>
        <v>51.973893629165474</v>
      </c>
      <c r="AB363" s="10">
        <f>100-(S$429-Tabell2[[#This Row],[Yrkesaktivandel-T]])*100/S$432</f>
        <v>59.803091228745267</v>
      </c>
      <c r="AC363" s="10">
        <f>100-(T$429-Tabell2[[#This Row],[Inntekt-T]])*100/T$432</f>
        <v>18.960346551149613</v>
      </c>
      <c r="AD36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25.111015030283983</v>
      </c>
    </row>
    <row r="364" spans="1:30" x14ac:dyDescent="0.25">
      <c r="A364" s="2" t="s">
        <v>311</v>
      </c>
      <c r="B364" s="2">
        <v>362</v>
      </c>
      <c r="C364">
        <f>'Rådata-K'!N363</f>
        <v>11</v>
      </c>
      <c r="D364" s="30">
        <f>'Rådata-K'!M363</f>
        <v>351.625</v>
      </c>
      <c r="E364" s="32">
        <f>'Rådata-K'!O363</f>
        <v>2.5201173346018155</v>
      </c>
      <c r="F364" s="32">
        <f>'Rådata-K'!P363</f>
        <v>-5.1119402985074669E-2</v>
      </c>
      <c r="G364" s="32">
        <f>'Rådata-K'!Q363</f>
        <v>9.5556429414077868E-2</v>
      </c>
      <c r="H364" s="32">
        <f>'Rådata-K'!R363</f>
        <v>0.2300432559968541</v>
      </c>
      <c r="I364" s="32">
        <f>'Rådata-K'!S363</f>
        <v>0.109375</v>
      </c>
      <c r="J364" s="32">
        <f>'Rådata-K'!T363</f>
        <v>0.86436950146627567</v>
      </c>
      <c r="K364" s="67">
        <f>'Rådata-K'!L363</f>
        <v>374000</v>
      </c>
      <c r="L364" s="18">
        <f>Tabell2[[#This Row],[NIBR11]]</f>
        <v>11</v>
      </c>
      <c r="M364" s="32">
        <f>IF(Tabell2[[#This Row],[ReisetidOslo]]&lt;=D$427,D$427,IF(Tabell2[[#This Row],[ReisetidOslo]]&gt;=D$428,D$428,Tabell2[[#This Row],[ReisetidOslo]]))</f>
        <v>286.73125000000005</v>
      </c>
      <c r="N364" s="32">
        <f>IF(Tabell2[[#This Row],[Beftettotal]]&lt;=E$427,E$427,IF(Tabell2[[#This Row],[Beftettotal]]&gt;=E$428,E$428,Tabell2[[#This Row],[Beftettotal]]))</f>
        <v>2.5201173346018155</v>
      </c>
      <c r="O364" s="32">
        <f>IF(Tabell2[[#This Row],[Befvekst10]]&lt;=F$427,F$427,IF(Tabell2[[#This Row],[Befvekst10]]&gt;=F$428,F$428,Tabell2[[#This Row],[Befvekst10]]))</f>
        <v>-5.1119402985074669E-2</v>
      </c>
      <c r="P364" s="32">
        <f>IF(Tabell2[[#This Row],[Kvinneandel]]&lt;=G$427,G$427,IF(Tabell2[[#This Row],[Kvinneandel]]&gt;=G$428,G$428,Tabell2[[#This Row],[Kvinneandel]]))</f>
        <v>9.5556429414077868E-2</v>
      </c>
      <c r="Q364" s="32">
        <f>IF(Tabell2[[#This Row],[Eldreandel]]&lt;=H$427,H$427,IF(Tabell2[[#This Row],[Eldreandel]]&gt;=H$428,H$428,Tabell2[[#This Row],[Eldreandel]]))</f>
        <v>0.22303194152148736</v>
      </c>
      <c r="R364" s="32">
        <f>IF(Tabell2[[#This Row],[Sysselsettingsvekst10]]&lt;=I$427,I$427,IF(Tabell2[[#This Row],[Sysselsettingsvekst10]]&gt;=I$428,I$428,Tabell2[[#This Row],[Sysselsettingsvekst10]]))</f>
        <v>0.109375</v>
      </c>
      <c r="S364" s="32">
        <f>IF(Tabell2[[#This Row],[Yrkesaktivandel]]&lt;=J$427,J$427,IF(Tabell2[[#This Row],[Yrkesaktivandel]]&gt;=J$428,J$428,Tabell2[[#This Row],[Yrkesaktivandel]]))</f>
        <v>0.86436950146627567</v>
      </c>
      <c r="T364" s="67">
        <f>IF(Tabell2[[#This Row],[Inntekt]]&lt;=K$427,K$427,IF(Tabell2[[#This Row],[Inntekt]]&gt;=K$428,K$428,Tabell2[[#This Row],[Inntekt]]))</f>
        <v>374000</v>
      </c>
      <c r="U364" s="10">
        <f>IF(Tabell2[[#This Row],[NIBR11-T]]&lt;=L$430,100,IF(Tabell2[[#This Row],[NIBR11-T]]&gt;=L$429,0,100*(L$429-Tabell2[[#This Row],[NIBR11-T]])/L$432))</f>
        <v>0</v>
      </c>
      <c r="V364" s="10">
        <f>(M$429-Tabell2[[#This Row],[ReisetidOslo-T]])*100/M$432</f>
        <v>0</v>
      </c>
      <c r="W364" s="10">
        <f>100-(N$429-Tabell2[[#This Row],[Beftettotal-T]])*100/N$432</f>
        <v>0.95002233524598978</v>
      </c>
      <c r="X364" s="10">
        <f>100-(O$429-Tabell2[[#This Row],[Befvekst10-T]])*100/O$432</f>
        <v>1.4677212878110879</v>
      </c>
      <c r="Y364" s="10">
        <f>100-(P$429-Tabell2[[#This Row],[Kvinneandel-T]])*100/P$432</f>
        <v>14.896205592683273</v>
      </c>
      <c r="Z364" s="10">
        <f>(Q$429-Tabell2[[#This Row],[Eldreandel-T]])*100/Q$432</f>
        <v>0</v>
      </c>
      <c r="AA364" s="10">
        <f>100-(R$429-Tabell2[[#This Row],[Sysselsettingsvekst10-T]])*100/R$432</f>
        <v>75.627436031477657</v>
      </c>
      <c r="AB364" s="10">
        <f>100-(S$429-Tabell2[[#This Row],[Yrkesaktivandel-T]])*100/S$432</f>
        <v>52.219745316487504</v>
      </c>
      <c r="AC364" s="10">
        <f>100-(T$429-Tabell2[[#This Row],[Inntekt-T]])*100/T$432</f>
        <v>16.516716650005549</v>
      </c>
      <c r="AD36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15.569746570518051</v>
      </c>
    </row>
    <row r="365" spans="1:30" x14ac:dyDescent="0.25">
      <c r="A365" s="2" t="s">
        <v>312</v>
      </c>
      <c r="B365" s="2">
        <v>363</v>
      </c>
      <c r="C365">
        <f>'Rådata-K'!N364</f>
        <v>11</v>
      </c>
      <c r="D365" s="30">
        <f>'Rådata-K'!M364</f>
        <v>353.5625</v>
      </c>
      <c r="E365" s="32">
        <f>'Rådata-K'!O364</f>
        <v>1.7511779332230384</v>
      </c>
      <c r="F365" s="32">
        <f>'Rådata-K'!P364</f>
        <v>2.2021456804065531E-2</v>
      </c>
      <c r="G365" s="32">
        <f>'Rådata-K'!Q364</f>
        <v>9.9447513812154692E-2</v>
      </c>
      <c r="H365" s="32">
        <f>'Rådata-K'!R364</f>
        <v>0.22209944751381216</v>
      </c>
      <c r="I365" s="32">
        <f>'Rådata-K'!S364</f>
        <v>3.8809831824062169E-2</v>
      </c>
      <c r="J365" s="32">
        <f>'Rådata-K'!T364</f>
        <v>0.87564234326824253</v>
      </c>
      <c r="K365" s="67">
        <f>'Rådata-K'!L364</f>
        <v>368600</v>
      </c>
      <c r="L365" s="18">
        <f>Tabell2[[#This Row],[NIBR11]]</f>
        <v>11</v>
      </c>
      <c r="M365" s="32">
        <f>IF(Tabell2[[#This Row],[ReisetidOslo]]&lt;=D$427,D$427,IF(Tabell2[[#This Row],[ReisetidOslo]]&gt;=D$428,D$428,Tabell2[[#This Row],[ReisetidOslo]]))</f>
        <v>286.73125000000005</v>
      </c>
      <c r="N365" s="32">
        <f>IF(Tabell2[[#This Row],[Beftettotal]]&lt;=E$427,E$427,IF(Tabell2[[#This Row],[Beftettotal]]&gt;=E$428,E$428,Tabell2[[#This Row],[Beftettotal]]))</f>
        <v>1.7511779332230384</v>
      </c>
      <c r="O365" s="32">
        <f>IF(Tabell2[[#This Row],[Befvekst10]]&lt;=F$427,F$427,IF(Tabell2[[#This Row],[Befvekst10]]&gt;=F$428,F$428,Tabell2[[#This Row],[Befvekst10]]))</f>
        <v>2.2021456804065531E-2</v>
      </c>
      <c r="P365" s="32">
        <f>IF(Tabell2[[#This Row],[Kvinneandel]]&lt;=G$427,G$427,IF(Tabell2[[#This Row],[Kvinneandel]]&gt;=G$428,G$428,Tabell2[[#This Row],[Kvinneandel]]))</f>
        <v>9.9447513812154692E-2</v>
      </c>
      <c r="Q365" s="32">
        <f>IF(Tabell2[[#This Row],[Eldreandel]]&lt;=H$427,H$427,IF(Tabell2[[#This Row],[Eldreandel]]&gt;=H$428,H$428,Tabell2[[#This Row],[Eldreandel]]))</f>
        <v>0.22209944751381216</v>
      </c>
      <c r="R365" s="32">
        <f>IF(Tabell2[[#This Row],[Sysselsettingsvekst10]]&lt;=I$427,I$427,IF(Tabell2[[#This Row],[Sysselsettingsvekst10]]&gt;=I$428,I$428,Tabell2[[#This Row],[Sysselsettingsvekst10]]))</f>
        <v>3.8809831824062169E-2</v>
      </c>
      <c r="S365" s="32">
        <f>IF(Tabell2[[#This Row],[Yrkesaktivandel]]&lt;=J$427,J$427,IF(Tabell2[[#This Row],[Yrkesaktivandel]]&gt;=J$428,J$428,Tabell2[[#This Row],[Yrkesaktivandel]]))</f>
        <v>0.87564234326824253</v>
      </c>
      <c r="T365" s="67">
        <f>IF(Tabell2[[#This Row],[Inntekt]]&lt;=K$427,K$427,IF(Tabell2[[#This Row],[Inntekt]]&gt;=K$428,K$428,Tabell2[[#This Row],[Inntekt]]))</f>
        <v>368600</v>
      </c>
      <c r="U365" s="10">
        <f>IF(Tabell2[[#This Row],[NIBR11-T]]&lt;=L$430,100,IF(Tabell2[[#This Row],[NIBR11-T]]&gt;=L$429,0,100*(L$429-Tabell2[[#This Row],[NIBR11-T]])/L$432))</f>
        <v>0</v>
      </c>
      <c r="V365" s="10">
        <f>(M$429-Tabell2[[#This Row],[ReisetidOslo-T]])*100/M$432</f>
        <v>0</v>
      </c>
      <c r="W365" s="10">
        <f>100-(N$429-Tabell2[[#This Row],[Beftettotal-T]])*100/N$432</f>
        <v>0.37692729242479572</v>
      </c>
      <c r="X365" s="10">
        <f>100-(O$429-Tabell2[[#This Row],[Befvekst10-T]])*100/O$432</f>
        <v>32.974960909211717</v>
      </c>
      <c r="Y365" s="10">
        <f>100-(P$429-Tabell2[[#This Row],[Kvinneandel-T]])*100/P$432</f>
        <v>25.173739236838756</v>
      </c>
      <c r="Z365" s="10">
        <f>(Q$429-Tabell2[[#This Row],[Eldreandel-T]])*100/Q$432</f>
        <v>1.0057994782010746</v>
      </c>
      <c r="AA365" s="10">
        <f>100-(R$429-Tabell2[[#This Row],[Sysselsettingsvekst10-T]])*100/R$432</f>
        <v>50.940625739825222</v>
      </c>
      <c r="AB365" s="10">
        <f>100-(S$429-Tabell2[[#This Row],[Yrkesaktivandel-T]])*100/S$432</f>
        <v>60.96345584294491</v>
      </c>
      <c r="AC365" s="10">
        <f>100-(T$429-Tabell2[[#This Row],[Inntekt-T]])*100/T$432</f>
        <v>10.518715983561037</v>
      </c>
      <c r="AD36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20.183941603469933</v>
      </c>
    </row>
    <row r="366" spans="1:30" x14ac:dyDescent="0.25">
      <c r="A366" s="2" t="s">
        <v>313</v>
      </c>
      <c r="B366" s="2">
        <v>364</v>
      </c>
      <c r="C366">
        <f>'Rådata-K'!N365</f>
        <v>11</v>
      </c>
      <c r="D366" s="30">
        <f>'Rådata-K'!M365</f>
        <v>336.75</v>
      </c>
      <c r="E366" s="32">
        <f>'Rådata-K'!O365</f>
        <v>1.3390539174158993</v>
      </c>
      <c r="F366" s="32">
        <f>'Rådata-K'!P365</f>
        <v>-4.4834307992202782E-2</v>
      </c>
      <c r="G366" s="32">
        <f>'Rådata-K'!Q365</f>
        <v>9.3877551020408165E-2</v>
      </c>
      <c r="H366" s="32">
        <f>'Rådata-K'!R365</f>
        <v>0.21530612244897959</v>
      </c>
      <c r="I366" s="32">
        <f>'Rådata-K'!S365</f>
        <v>-6.7484662576687171E-2</v>
      </c>
      <c r="J366" s="32">
        <f>'Rådata-K'!T365</f>
        <v>0.76603432700993679</v>
      </c>
      <c r="K366" s="67">
        <f>'Rådata-K'!L365</f>
        <v>361200</v>
      </c>
      <c r="L366" s="18">
        <f>Tabell2[[#This Row],[NIBR11]]</f>
        <v>11</v>
      </c>
      <c r="M366" s="32">
        <f>IF(Tabell2[[#This Row],[ReisetidOslo]]&lt;=D$427,D$427,IF(Tabell2[[#This Row],[ReisetidOslo]]&gt;=D$428,D$428,Tabell2[[#This Row],[ReisetidOslo]]))</f>
        <v>286.73125000000005</v>
      </c>
      <c r="N366" s="32">
        <f>IF(Tabell2[[#This Row],[Beftettotal]]&lt;=E$427,E$427,IF(Tabell2[[#This Row],[Beftettotal]]&gt;=E$428,E$428,Tabell2[[#This Row],[Beftettotal]]))</f>
        <v>1.3390539174158993</v>
      </c>
      <c r="O366" s="32">
        <f>IF(Tabell2[[#This Row],[Befvekst10]]&lt;=F$427,F$427,IF(Tabell2[[#This Row],[Befvekst10]]&gt;=F$428,F$428,Tabell2[[#This Row],[Befvekst10]]))</f>
        <v>-4.4834307992202782E-2</v>
      </c>
      <c r="P366" s="32">
        <f>IF(Tabell2[[#This Row],[Kvinneandel]]&lt;=G$427,G$427,IF(Tabell2[[#This Row],[Kvinneandel]]&gt;=G$428,G$428,Tabell2[[#This Row],[Kvinneandel]]))</f>
        <v>9.3877551020408165E-2</v>
      </c>
      <c r="Q366" s="32">
        <f>IF(Tabell2[[#This Row],[Eldreandel]]&lt;=H$427,H$427,IF(Tabell2[[#This Row],[Eldreandel]]&gt;=H$428,H$428,Tabell2[[#This Row],[Eldreandel]]))</f>
        <v>0.21530612244897959</v>
      </c>
      <c r="R366" s="32">
        <f>IF(Tabell2[[#This Row],[Sysselsettingsvekst10]]&lt;=I$427,I$427,IF(Tabell2[[#This Row],[Sysselsettingsvekst10]]&gt;=I$428,I$428,Tabell2[[#This Row],[Sysselsettingsvekst10]]))</f>
        <v>-6.7484662576687171E-2</v>
      </c>
      <c r="S366" s="32">
        <f>IF(Tabell2[[#This Row],[Yrkesaktivandel]]&lt;=J$427,J$427,IF(Tabell2[[#This Row],[Yrkesaktivandel]]&gt;=J$428,J$428,Tabell2[[#This Row],[Yrkesaktivandel]]))</f>
        <v>0.7970451171433347</v>
      </c>
      <c r="T366" s="67">
        <f>IF(Tabell2[[#This Row],[Inntekt]]&lt;=K$427,K$427,IF(Tabell2[[#This Row],[Inntekt]]&gt;=K$428,K$428,Tabell2[[#This Row],[Inntekt]]))</f>
        <v>361200</v>
      </c>
      <c r="U366" s="10">
        <f>IF(Tabell2[[#This Row],[NIBR11-T]]&lt;=L$430,100,IF(Tabell2[[#This Row],[NIBR11-T]]&gt;=L$429,0,100*(L$429-Tabell2[[#This Row],[NIBR11-T]])/L$432))</f>
        <v>0</v>
      </c>
      <c r="V366" s="10">
        <f>(M$429-Tabell2[[#This Row],[ReisetidOslo-T]])*100/M$432</f>
        <v>0</v>
      </c>
      <c r="W366" s="10">
        <f>100-(N$429-Tabell2[[#This Row],[Beftettotal-T]])*100/N$432</f>
        <v>6.9768847867109685E-2</v>
      </c>
      <c r="X366" s="10">
        <f>100-(O$429-Tabell2[[#This Row],[Befvekst10-T]])*100/O$432</f>
        <v>4.1751818584767193</v>
      </c>
      <c r="Y366" s="10">
        <f>100-(P$429-Tabell2[[#This Row],[Kvinneandel-T]])*100/P$432</f>
        <v>10.46177873113426</v>
      </c>
      <c r="Z366" s="10">
        <f>(Q$429-Tabell2[[#This Row],[Eldreandel-T]])*100/Q$432</f>
        <v>8.3331632459249452</v>
      </c>
      <c r="AA366" s="10">
        <f>100-(R$429-Tabell2[[#This Row],[Sysselsettingsvekst10-T]])*100/R$432</f>
        <v>13.754120185471564</v>
      </c>
      <c r="AB366" s="10">
        <f>100-(S$429-Tabell2[[#This Row],[Yrkesaktivandel-T]])*100/S$432</f>
        <v>0</v>
      </c>
      <c r="AC366" s="10">
        <f>100-(T$429-Tabell2[[#This Row],[Inntekt-T]])*100/T$432</f>
        <v>2.2992335888037303</v>
      </c>
      <c r="AD36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3.3870957327625444</v>
      </c>
    </row>
    <row r="367" spans="1:30" x14ac:dyDescent="0.25">
      <c r="A367" s="2" t="s">
        <v>314</v>
      </c>
      <c r="B367" s="2">
        <v>365</v>
      </c>
      <c r="C367">
        <f>'Rådata-K'!N366</f>
        <v>11</v>
      </c>
      <c r="D367" s="30">
        <f>'Rådata-K'!M366</f>
        <v>257.375</v>
      </c>
      <c r="E367" s="32">
        <f>'Rådata-K'!O366</f>
        <v>4.0455743236838613</v>
      </c>
      <c r="F367" s="32">
        <f>'Rådata-K'!P366</f>
        <v>-5.4497120070890581E-2</v>
      </c>
      <c r="G367" s="32">
        <f>'Rådata-K'!Q366</f>
        <v>7.8725398313027176E-2</v>
      </c>
      <c r="H367" s="32">
        <f>'Rådata-K'!R366</f>
        <v>0.23430178069353327</v>
      </c>
      <c r="I367" s="32">
        <f>'Rådata-K'!S366</f>
        <v>-5.144694533762062E-2</v>
      </c>
      <c r="J367" s="32">
        <f>'Rådata-K'!T366</f>
        <v>0.82909728308501318</v>
      </c>
      <c r="K367" s="67">
        <f>'Rådata-K'!L366</f>
        <v>366900</v>
      </c>
      <c r="L367" s="18">
        <f>Tabell2[[#This Row],[NIBR11]]</f>
        <v>11</v>
      </c>
      <c r="M367" s="32">
        <f>IF(Tabell2[[#This Row],[ReisetidOslo]]&lt;=D$427,D$427,IF(Tabell2[[#This Row],[ReisetidOslo]]&gt;=D$428,D$428,Tabell2[[#This Row],[ReisetidOslo]]))</f>
        <v>257.375</v>
      </c>
      <c r="N367" s="32">
        <f>IF(Tabell2[[#This Row],[Beftettotal]]&lt;=E$427,E$427,IF(Tabell2[[#This Row],[Beftettotal]]&gt;=E$428,E$428,Tabell2[[#This Row],[Beftettotal]]))</f>
        <v>4.0455743236838613</v>
      </c>
      <c r="O367" s="32">
        <f>IF(Tabell2[[#This Row],[Befvekst10]]&lt;=F$427,F$427,IF(Tabell2[[#This Row],[Befvekst10]]&gt;=F$428,F$428,Tabell2[[#This Row],[Befvekst10]]))</f>
        <v>-5.4497120070890581E-2</v>
      </c>
      <c r="P367" s="32">
        <f>IF(Tabell2[[#This Row],[Kvinneandel]]&lt;=G$427,G$427,IF(Tabell2[[#This Row],[Kvinneandel]]&gt;=G$428,G$428,Tabell2[[#This Row],[Kvinneandel]]))</f>
        <v>8.9916711250255951E-2</v>
      </c>
      <c r="Q367" s="32">
        <f>IF(Tabell2[[#This Row],[Eldreandel]]&lt;=H$427,H$427,IF(Tabell2[[#This Row],[Eldreandel]]&gt;=H$428,H$428,Tabell2[[#This Row],[Eldreandel]]))</f>
        <v>0.22303194152148736</v>
      </c>
      <c r="R367" s="32">
        <f>IF(Tabell2[[#This Row],[Sysselsettingsvekst10]]&lt;=I$427,I$427,IF(Tabell2[[#This Row],[Sysselsettingsvekst10]]&gt;=I$428,I$428,Tabell2[[#This Row],[Sysselsettingsvekst10]]))</f>
        <v>-5.144694533762062E-2</v>
      </c>
      <c r="S367" s="32">
        <f>IF(Tabell2[[#This Row],[Yrkesaktivandel]]&lt;=J$427,J$427,IF(Tabell2[[#This Row],[Yrkesaktivandel]]&gt;=J$428,J$428,Tabell2[[#This Row],[Yrkesaktivandel]]))</f>
        <v>0.82909728308501318</v>
      </c>
      <c r="T367" s="67">
        <f>IF(Tabell2[[#This Row],[Inntekt]]&lt;=K$427,K$427,IF(Tabell2[[#This Row],[Inntekt]]&gt;=K$428,K$428,Tabell2[[#This Row],[Inntekt]]))</f>
        <v>366900</v>
      </c>
      <c r="U367" s="10">
        <f>IF(Tabell2[[#This Row],[NIBR11-T]]&lt;=L$430,100,IF(Tabell2[[#This Row],[NIBR11-T]]&gt;=L$429,0,100*(L$429-Tabell2[[#This Row],[NIBR11-T]])/L$432))</f>
        <v>0</v>
      </c>
      <c r="V367" s="10">
        <f>(M$429-Tabell2[[#This Row],[ReisetidOslo-T]])*100/M$432</f>
        <v>12.647635973194138</v>
      </c>
      <c r="W367" s="10">
        <f>100-(N$429-Tabell2[[#This Row],[Beftettotal-T]])*100/N$432</f>
        <v>2.086954370348181</v>
      </c>
      <c r="X367" s="10">
        <f>100-(O$429-Tabell2[[#This Row],[Befvekst10-T]])*100/O$432</f>
        <v>1.2685868444819448E-2</v>
      </c>
      <c r="Y367" s="10">
        <f>100-(P$429-Tabell2[[#This Row],[Kvinneandel-T]])*100/P$432</f>
        <v>0</v>
      </c>
      <c r="Z367" s="10">
        <f>(Q$429-Tabell2[[#This Row],[Eldreandel-T]])*100/Q$432</f>
        <v>0</v>
      </c>
      <c r="AA367" s="10">
        <f>100-(R$429-Tabell2[[#This Row],[Sysselsettingsvekst10-T]])*100/R$432</f>
        <v>19.364821516259383</v>
      </c>
      <c r="AB367" s="10">
        <f>100-(S$429-Tabell2[[#This Row],[Yrkesaktivandel-T]])*100/S$432</f>
        <v>24.861065706707222</v>
      </c>
      <c r="AC367" s="10">
        <f>100-(T$429-Tabell2[[#This Row],[Inntekt-T]])*100/T$432</f>
        <v>8.6304565144951653</v>
      </c>
      <c r="AD36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6.7616305817893725</v>
      </c>
    </row>
    <row r="368" spans="1:30" x14ac:dyDescent="0.25">
      <c r="A368" s="2" t="s">
        <v>315</v>
      </c>
      <c r="B368" s="2">
        <v>366</v>
      </c>
      <c r="C368">
        <f>'Rådata-K'!N367</f>
        <v>5</v>
      </c>
      <c r="D368" s="30">
        <f>'Rådata-K'!M367</f>
        <v>223.0625</v>
      </c>
      <c r="E368" s="32">
        <f>'Rådata-K'!O367</f>
        <v>3.9215686274509798</v>
      </c>
      <c r="F368" s="32">
        <f>'Rådata-K'!P367</f>
        <v>-7.3964497041420163E-2</v>
      </c>
      <c r="G368" s="32">
        <f>'Rådata-K'!Q367</f>
        <v>8.2268370607028754E-2</v>
      </c>
      <c r="H368" s="32">
        <f>'Rådata-K'!R367</f>
        <v>0.25958466453674123</v>
      </c>
      <c r="I368" s="32">
        <f>'Rådata-K'!S367</f>
        <v>1.7467248908296984E-2</v>
      </c>
      <c r="J368" s="32">
        <f>'Rådata-K'!T367</f>
        <v>0.84122137404580155</v>
      </c>
      <c r="K368" s="67">
        <f>'Rådata-K'!L367</f>
        <v>374800</v>
      </c>
      <c r="L368" s="18">
        <f>Tabell2[[#This Row],[NIBR11]]</f>
        <v>5</v>
      </c>
      <c r="M368" s="32">
        <f>IF(Tabell2[[#This Row],[ReisetidOslo]]&lt;=D$427,D$427,IF(Tabell2[[#This Row],[ReisetidOslo]]&gt;=D$428,D$428,Tabell2[[#This Row],[ReisetidOslo]]))</f>
        <v>223.0625</v>
      </c>
      <c r="N368" s="32">
        <f>IF(Tabell2[[#This Row],[Beftettotal]]&lt;=E$427,E$427,IF(Tabell2[[#This Row],[Beftettotal]]&gt;=E$428,E$428,Tabell2[[#This Row],[Beftettotal]]))</f>
        <v>3.9215686274509798</v>
      </c>
      <c r="O368" s="32">
        <f>IF(Tabell2[[#This Row],[Befvekst10]]&lt;=F$427,F$427,IF(Tabell2[[#This Row],[Befvekst10]]&gt;=F$428,F$428,Tabell2[[#This Row],[Befvekst10]]))</f>
        <v>-5.4526569027269343E-2</v>
      </c>
      <c r="P368" s="32">
        <f>IF(Tabell2[[#This Row],[Kvinneandel]]&lt;=G$427,G$427,IF(Tabell2[[#This Row],[Kvinneandel]]&gt;=G$428,G$428,Tabell2[[#This Row],[Kvinneandel]]))</f>
        <v>8.9916711250255951E-2</v>
      </c>
      <c r="Q368" s="32">
        <f>IF(Tabell2[[#This Row],[Eldreandel]]&lt;=H$427,H$427,IF(Tabell2[[#This Row],[Eldreandel]]&gt;=H$428,H$428,Tabell2[[#This Row],[Eldreandel]]))</f>
        <v>0.22303194152148736</v>
      </c>
      <c r="R368" s="32">
        <f>IF(Tabell2[[#This Row],[Sysselsettingsvekst10]]&lt;=I$427,I$427,IF(Tabell2[[#This Row],[Sysselsettingsvekst10]]&gt;=I$428,I$428,Tabell2[[#This Row],[Sysselsettingsvekst10]]))</f>
        <v>1.7467248908296984E-2</v>
      </c>
      <c r="S368" s="32">
        <f>IF(Tabell2[[#This Row],[Yrkesaktivandel]]&lt;=J$427,J$427,IF(Tabell2[[#This Row],[Yrkesaktivandel]]&gt;=J$428,J$428,Tabell2[[#This Row],[Yrkesaktivandel]]))</f>
        <v>0.84122137404580155</v>
      </c>
      <c r="T368" s="67">
        <f>IF(Tabell2[[#This Row],[Inntekt]]&lt;=K$427,K$427,IF(Tabell2[[#This Row],[Inntekt]]&gt;=K$428,K$428,Tabell2[[#This Row],[Inntekt]]))</f>
        <v>374800</v>
      </c>
      <c r="U368" s="10">
        <f>IF(Tabell2[[#This Row],[NIBR11-T]]&lt;=L$430,100,IF(Tabell2[[#This Row],[NIBR11-T]]&gt;=L$429,0,100*(L$429-Tabell2[[#This Row],[NIBR11-T]])/L$432))</f>
        <v>60</v>
      </c>
      <c r="V368" s="10">
        <f>(M$429-Tabell2[[#This Row],[ReisetidOslo-T]])*100/M$432</f>
        <v>27.430587110693757</v>
      </c>
      <c r="W368" s="10">
        <f>100-(N$429-Tabell2[[#This Row],[Beftettotal-T]])*100/N$432</f>
        <v>1.994532198112978</v>
      </c>
      <c r="X368" s="10">
        <f>100-(O$429-Tabell2[[#This Row],[Befvekst10-T]])*100/O$432</f>
        <v>0</v>
      </c>
      <c r="Y368" s="10">
        <f>100-(P$429-Tabell2[[#This Row],[Kvinneandel-T]])*100/P$432</f>
        <v>0</v>
      </c>
      <c r="Z368" s="10">
        <f>(Q$429-Tabell2[[#This Row],[Eldreandel-T]])*100/Q$432</f>
        <v>0</v>
      </c>
      <c r="AA368" s="10">
        <f>100-(R$429-Tabell2[[#This Row],[Sysselsettingsvekst10-T]])*100/R$432</f>
        <v>43.474048259818318</v>
      </c>
      <c r="AB368" s="10">
        <f>100-(S$429-Tabell2[[#This Row],[Yrkesaktivandel-T]])*100/S$432</f>
        <v>34.265042416384475</v>
      </c>
      <c r="AC368" s="10">
        <f>100-(T$429-Tabell2[[#This Row],[Inntekt-T]])*100/T$432</f>
        <v>17.405309341330664</v>
      </c>
      <c r="AD36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24.45695193263402</v>
      </c>
    </row>
    <row r="369" spans="1:30" x14ac:dyDescent="0.25">
      <c r="A369" s="2" t="s">
        <v>316</v>
      </c>
      <c r="B369" s="2">
        <v>367</v>
      </c>
      <c r="C369">
        <f>'Rådata-K'!N368</f>
        <v>5</v>
      </c>
      <c r="D369" s="30">
        <f>'Rådata-K'!M368</f>
        <v>211.0625</v>
      </c>
      <c r="E369" s="32">
        <f>'Rådata-K'!O368</f>
        <v>5.5463248674736922</v>
      </c>
      <c r="F369" s="32">
        <f>'Rådata-K'!P368</f>
        <v>3.0124908155767738E-2</v>
      </c>
      <c r="G369" s="32">
        <f>'Rådata-K'!Q368</f>
        <v>8.4878744650499285E-2</v>
      </c>
      <c r="H369" s="32">
        <f>'Rådata-K'!R368</f>
        <v>0.23680456490727533</v>
      </c>
      <c r="I369" s="32">
        <f>'Rådata-K'!S368</f>
        <v>-4.587155963302747E-2</v>
      </c>
      <c r="J369" s="32">
        <f>'Rådata-K'!T368</f>
        <v>0.77792915531335149</v>
      </c>
      <c r="K369" s="67">
        <f>'Rådata-K'!L368</f>
        <v>357200</v>
      </c>
      <c r="L369" s="18">
        <f>Tabell2[[#This Row],[NIBR11]]</f>
        <v>5</v>
      </c>
      <c r="M369" s="32">
        <f>IF(Tabell2[[#This Row],[ReisetidOslo]]&lt;=D$427,D$427,IF(Tabell2[[#This Row],[ReisetidOslo]]&gt;=D$428,D$428,Tabell2[[#This Row],[ReisetidOslo]]))</f>
        <v>211.0625</v>
      </c>
      <c r="N369" s="32">
        <f>IF(Tabell2[[#This Row],[Beftettotal]]&lt;=E$427,E$427,IF(Tabell2[[#This Row],[Beftettotal]]&gt;=E$428,E$428,Tabell2[[#This Row],[Beftettotal]]))</f>
        <v>5.5463248674736922</v>
      </c>
      <c r="O369" s="32">
        <f>IF(Tabell2[[#This Row],[Befvekst10]]&lt;=F$427,F$427,IF(Tabell2[[#This Row],[Befvekst10]]&gt;=F$428,F$428,Tabell2[[#This Row],[Befvekst10]]))</f>
        <v>3.0124908155767738E-2</v>
      </c>
      <c r="P369" s="32">
        <f>IF(Tabell2[[#This Row],[Kvinneandel]]&lt;=G$427,G$427,IF(Tabell2[[#This Row],[Kvinneandel]]&gt;=G$428,G$428,Tabell2[[#This Row],[Kvinneandel]]))</f>
        <v>8.9916711250255951E-2</v>
      </c>
      <c r="Q369" s="32">
        <f>IF(Tabell2[[#This Row],[Eldreandel]]&lt;=H$427,H$427,IF(Tabell2[[#This Row],[Eldreandel]]&gt;=H$428,H$428,Tabell2[[#This Row],[Eldreandel]]))</f>
        <v>0.22303194152148736</v>
      </c>
      <c r="R369" s="32">
        <f>IF(Tabell2[[#This Row],[Sysselsettingsvekst10]]&lt;=I$427,I$427,IF(Tabell2[[#This Row],[Sysselsettingsvekst10]]&gt;=I$428,I$428,Tabell2[[#This Row],[Sysselsettingsvekst10]]))</f>
        <v>-4.587155963302747E-2</v>
      </c>
      <c r="S369" s="32">
        <f>IF(Tabell2[[#This Row],[Yrkesaktivandel]]&lt;=J$427,J$427,IF(Tabell2[[#This Row],[Yrkesaktivandel]]&gt;=J$428,J$428,Tabell2[[#This Row],[Yrkesaktivandel]]))</f>
        <v>0.7970451171433347</v>
      </c>
      <c r="T369" s="67">
        <f>IF(Tabell2[[#This Row],[Inntekt]]&lt;=K$427,K$427,IF(Tabell2[[#This Row],[Inntekt]]&gt;=K$428,K$428,Tabell2[[#This Row],[Inntekt]]))</f>
        <v>359130</v>
      </c>
      <c r="U369" s="10">
        <f>IF(Tabell2[[#This Row],[NIBR11-T]]&lt;=L$430,100,IF(Tabell2[[#This Row],[NIBR11-T]]&gt;=L$429,0,100*(L$429-Tabell2[[#This Row],[NIBR11-T]])/L$432))</f>
        <v>60</v>
      </c>
      <c r="V369" s="10">
        <f>(M$429-Tabell2[[#This Row],[ReisetidOslo-T]])*100/M$432</f>
        <v>32.60058095113078</v>
      </c>
      <c r="W369" s="10">
        <f>100-(N$429-Tabell2[[#This Row],[Beftettotal-T]])*100/N$432</f>
        <v>3.2054725469625396</v>
      </c>
      <c r="X369" s="10">
        <f>100-(O$429-Tabell2[[#This Row],[Befvekst10-T]])*100/O$432</f>
        <v>36.465723585976875</v>
      </c>
      <c r="Y369" s="10">
        <f>100-(P$429-Tabell2[[#This Row],[Kvinneandel-T]])*100/P$432</f>
        <v>0</v>
      </c>
      <c r="Z369" s="10">
        <f>(Q$429-Tabell2[[#This Row],[Eldreandel-T]])*100/Q$432</f>
        <v>0</v>
      </c>
      <c r="AA369" s="10">
        <f>100-(R$429-Tabell2[[#This Row],[Sysselsettingsvekst10-T]])*100/R$432</f>
        <v>21.31533751090582</v>
      </c>
      <c r="AB369" s="10">
        <f>100-(S$429-Tabell2[[#This Row],[Yrkesaktivandel-T]])*100/S$432</f>
        <v>0</v>
      </c>
      <c r="AC369" s="10">
        <f>100-(T$429-Tabell2[[#This Row],[Inntekt-T]])*100/T$432</f>
        <v>0</v>
      </c>
      <c r="AD36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25.00528381809529</v>
      </c>
    </row>
    <row r="370" spans="1:30" x14ac:dyDescent="0.25">
      <c r="A370" s="2" t="s">
        <v>317</v>
      </c>
      <c r="B370" s="2">
        <v>368</v>
      </c>
      <c r="C370">
        <f>'Rådata-K'!N369</f>
        <v>5</v>
      </c>
      <c r="D370" s="30">
        <f>'Rådata-K'!M369</f>
        <v>295.4375</v>
      </c>
      <c r="E370" s="32">
        <f>'Rådata-K'!O369</f>
        <v>2.7397260273972601</v>
      </c>
      <c r="F370" s="32">
        <f>'Rådata-K'!P369</f>
        <v>-4.8435171385991072E-2</v>
      </c>
      <c r="G370" s="32">
        <f>'Rådata-K'!Q369</f>
        <v>9.827721221613156E-2</v>
      </c>
      <c r="H370" s="32">
        <f>'Rådata-K'!R369</f>
        <v>0.21064996084573218</v>
      </c>
      <c r="I370" s="32">
        <f>'Rådata-K'!S369</f>
        <v>-0.15752625437572931</v>
      </c>
      <c r="J370" s="32">
        <f>'Rådata-K'!T369</f>
        <v>0.75292397660818711</v>
      </c>
      <c r="K370" s="67">
        <f>'Rådata-K'!L369</f>
        <v>361100</v>
      </c>
      <c r="L370" s="18">
        <f>Tabell2[[#This Row],[NIBR11]]</f>
        <v>5</v>
      </c>
      <c r="M370" s="32">
        <f>IF(Tabell2[[#This Row],[ReisetidOslo]]&lt;=D$427,D$427,IF(Tabell2[[#This Row],[ReisetidOslo]]&gt;=D$428,D$428,Tabell2[[#This Row],[ReisetidOslo]]))</f>
        <v>286.73125000000005</v>
      </c>
      <c r="N370" s="32">
        <f>IF(Tabell2[[#This Row],[Beftettotal]]&lt;=E$427,E$427,IF(Tabell2[[#This Row],[Beftettotal]]&gt;=E$428,E$428,Tabell2[[#This Row],[Beftettotal]]))</f>
        <v>2.7397260273972601</v>
      </c>
      <c r="O370" s="32">
        <f>IF(Tabell2[[#This Row],[Befvekst10]]&lt;=F$427,F$427,IF(Tabell2[[#This Row],[Befvekst10]]&gt;=F$428,F$428,Tabell2[[#This Row],[Befvekst10]]))</f>
        <v>-4.8435171385991072E-2</v>
      </c>
      <c r="P370" s="32">
        <f>IF(Tabell2[[#This Row],[Kvinneandel]]&lt;=G$427,G$427,IF(Tabell2[[#This Row],[Kvinneandel]]&gt;=G$428,G$428,Tabell2[[#This Row],[Kvinneandel]]))</f>
        <v>9.827721221613156E-2</v>
      </c>
      <c r="Q370" s="32">
        <f>IF(Tabell2[[#This Row],[Eldreandel]]&lt;=H$427,H$427,IF(Tabell2[[#This Row],[Eldreandel]]&gt;=H$428,H$428,Tabell2[[#This Row],[Eldreandel]]))</f>
        <v>0.21064996084573218</v>
      </c>
      <c r="R370" s="32">
        <f>IF(Tabell2[[#This Row],[Sysselsettingsvekst10]]&lt;=I$427,I$427,IF(Tabell2[[#This Row],[Sysselsettingsvekst10]]&gt;=I$428,I$428,Tabell2[[#This Row],[Sysselsettingsvekst10]]))</f>
        <v>-0.10679965679965678</v>
      </c>
      <c r="S370" s="32">
        <f>IF(Tabell2[[#This Row],[Yrkesaktivandel]]&lt;=J$427,J$427,IF(Tabell2[[#This Row],[Yrkesaktivandel]]&gt;=J$428,J$428,Tabell2[[#This Row],[Yrkesaktivandel]]))</f>
        <v>0.7970451171433347</v>
      </c>
      <c r="T370" s="67">
        <f>IF(Tabell2[[#This Row],[Inntekt]]&lt;=K$427,K$427,IF(Tabell2[[#This Row],[Inntekt]]&gt;=K$428,K$428,Tabell2[[#This Row],[Inntekt]]))</f>
        <v>361100</v>
      </c>
      <c r="U370" s="10">
        <f>IF(Tabell2[[#This Row],[NIBR11-T]]&lt;=L$430,100,IF(Tabell2[[#This Row],[NIBR11-T]]&gt;=L$429,0,100*(L$429-Tabell2[[#This Row],[NIBR11-T]])/L$432))</f>
        <v>60</v>
      </c>
      <c r="V370" s="10">
        <f>(M$429-Tabell2[[#This Row],[ReisetidOslo-T]])*100/M$432</f>
        <v>0</v>
      </c>
      <c r="W370" s="10">
        <f>100-(N$429-Tabell2[[#This Row],[Beftettotal-T]])*100/N$432</f>
        <v>1.1136979811757328</v>
      </c>
      <c r="X370" s="10">
        <f>100-(O$429-Tabell2[[#This Row],[Befvekst10-T]])*100/O$432</f>
        <v>2.6240206317821446</v>
      </c>
      <c r="Y370" s="10">
        <f>100-(P$429-Tabell2[[#This Row],[Kvinneandel-T]])*100/P$432</f>
        <v>22.082617894705606</v>
      </c>
      <c r="Z370" s="10">
        <f>(Q$429-Tabell2[[#This Row],[Eldreandel-T]])*100/Q$432</f>
        <v>13.35535628139734</v>
      </c>
      <c r="AA370" s="10">
        <f>100-(R$429-Tabell2[[#This Row],[Sysselsettingsvekst10-T]])*100/R$432</f>
        <v>0</v>
      </c>
      <c r="AB370" s="10">
        <f>100-(S$429-Tabell2[[#This Row],[Yrkesaktivandel-T]])*100/S$432</f>
        <v>0</v>
      </c>
      <c r="AC370" s="10">
        <f>100-(T$429-Tabell2[[#This Row],[Inntekt-T]])*100/T$432</f>
        <v>2.1881595023880891</v>
      </c>
      <c r="AD37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14.62688858351796</v>
      </c>
    </row>
    <row r="371" spans="1:30" x14ac:dyDescent="0.25">
      <c r="A371" s="2" t="s">
        <v>318</v>
      </c>
      <c r="B371" s="2">
        <v>369</v>
      </c>
      <c r="C371">
        <f>'Rådata-K'!N370</f>
        <v>11</v>
      </c>
      <c r="D371" s="30">
        <f>'Rådata-K'!M370</f>
        <v>286</v>
      </c>
      <c r="E371" s="32">
        <f>'Rådata-K'!O370</f>
        <v>52.813425468904242</v>
      </c>
      <c r="F371" s="32">
        <f>'Rådata-K'!P370</f>
        <v>-9.4754653130287636E-2</v>
      </c>
      <c r="G371" s="32">
        <f>'Rådata-K'!Q370</f>
        <v>9.3457943925233641E-2</v>
      </c>
      <c r="H371" s="32">
        <f>'Rådata-K'!R370</f>
        <v>0.19813084112149532</v>
      </c>
      <c r="I371" s="32">
        <f>'Rådata-K'!S370</f>
        <v>-0.22653721682847894</v>
      </c>
      <c r="J371" s="32">
        <f>'Rådata-K'!T370</f>
        <v>0.85488958990536279</v>
      </c>
      <c r="K371" s="67">
        <f>'Rådata-K'!L370</f>
        <v>448600</v>
      </c>
      <c r="L371" s="18">
        <f>Tabell2[[#This Row],[NIBR11]]</f>
        <v>11</v>
      </c>
      <c r="M371" s="32">
        <f>IF(Tabell2[[#This Row],[ReisetidOslo]]&lt;=D$427,D$427,IF(Tabell2[[#This Row],[ReisetidOslo]]&gt;=D$428,D$428,Tabell2[[#This Row],[ReisetidOslo]]))</f>
        <v>286</v>
      </c>
      <c r="N371" s="32">
        <f>IF(Tabell2[[#This Row],[Beftettotal]]&lt;=E$427,E$427,IF(Tabell2[[#This Row],[Beftettotal]]&gt;=E$428,E$428,Tabell2[[#This Row],[Beftettotal]]))</f>
        <v>52.813425468904242</v>
      </c>
      <c r="O371" s="32">
        <f>IF(Tabell2[[#This Row],[Befvekst10]]&lt;=F$427,F$427,IF(Tabell2[[#This Row],[Befvekst10]]&gt;=F$428,F$428,Tabell2[[#This Row],[Befvekst10]]))</f>
        <v>-5.4526569027269343E-2</v>
      </c>
      <c r="P371" s="32">
        <f>IF(Tabell2[[#This Row],[Kvinneandel]]&lt;=G$427,G$427,IF(Tabell2[[#This Row],[Kvinneandel]]&gt;=G$428,G$428,Tabell2[[#This Row],[Kvinneandel]]))</f>
        <v>9.3457943925233641E-2</v>
      </c>
      <c r="Q371" s="32">
        <f>IF(Tabell2[[#This Row],[Eldreandel]]&lt;=H$427,H$427,IF(Tabell2[[#This Row],[Eldreandel]]&gt;=H$428,H$428,Tabell2[[#This Row],[Eldreandel]]))</f>
        <v>0.19813084112149532</v>
      </c>
      <c r="R371" s="32">
        <f>IF(Tabell2[[#This Row],[Sysselsettingsvekst10]]&lt;=I$427,I$427,IF(Tabell2[[#This Row],[Sysselsettingsvekst10]]&gt;=I$428,I$428,Tabell2[[#This Row],[Sysselsettingsvekst10]]))</f>
        <v>-0.10679965679965678</v>
      </c>
      <c r="S371" s="32">
        <f>IF(Tabell2[[#This Row],[Yrkesaktivandel]]&lt;=J$427,J$427,IF(Tabell2[[#This Row],[Yrkesaktivandel]]&gt;=J$428,J$428,Tabell2[[#This Row],[Yrkesaktivandel]]))</f>
        <v>0.85488958990536279</v>
      </c>
      <c r="T371" s="67">
        <f>IF(Tabell2[[#This Row],[Inntekt]]&lt;=K$427,K$427,IF(Tabell2[[#This Row],[Inntekt]]&gt;=K$428,K$428,Tabell2[[#This Row],[Inntekt]]))</f>
        <v>448600</v>
      </c>
      <c r="U371" s="10">
        <f>IF(Tabell2[[#This Row],[NIBR11-T]]&lt;=L$430,100,IF(Tabell2[[#This Row],[NIBR11-T]]&gt;=L$429,0,100*(L$429-Tabell2[[#This Row],[NIBR11-T]])/L$432))</f>
        <v>0</v>
      </c>
      <c r="V371" s="10">
        <f>(M$429-Tabell2[[#This Row],[ReisetidOslo-T]])*100/M$432</f>
        <v>0.31504649965165082</v>
      </c>
      <c r="W371" s="10">
        <f>100-(N$429-Tabell2[[#This Row],[Beftettotal-T]])*100/N$432</f>
        <v>38.433919671192953</v>
      </c>
      <c r="X371" s="10">
        <f>100-(O$429-Tabell2[[#This Row],[Befvekst10-T]])*100/O$432</f>
        <v>0</v>
      </c>
      <c r="Y371" s="10">
        <f>100-(P$429-Tabell2[[#This Row],[Kvinneandel-T]])*100/P$432</f>
        <v>9.3534691709216986</v>
      </c>
      <c r="Z371" s="10">
        <f>(Q$429-Tabell2[[#This Row],[Eldreandel-T]])*100/Q$432</f>
        <v>26.858632423156831</v>
      </c>
      <c r="AA371" s="10">
        <f>100-(R$429-Tabell2[[#This Row],[Sysselsettingsvekst10-T]])*100/R$432</f>
        <v>0</v>
      </c>
      <c r="AB371" s="10">
        <f>100-(S$429-Tabell2[[#This Row],[Yrkesaktivandel-T]])*100/S$432</f>
        <v>44.866710122595499</v>
      </c>
      <c r="AC371" s="10">
        <f>100-(T$429-Tabell2[[#This Row],[Inntekt-T]])*100/T$432</f>
        <v>99.377985116072423</v>
      </c>
      <c r="AD37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20.109971220655183</v>
      </c>
    </row>
    <row r="372" spans="1:30" x14ac:dyDescent="0.25">
      <c r="A372" s="2" t="s">
        <v>319</v>
      </c>
      <c r="B372" s="2">
        <v>370</v>
      </c>
      <c r="C372">
        <f>'Rådata-K'!N371</f>
        <v>11</v>
      </c>
      <c r="D372" s="30">
        <f>'Rådata-K'!M371</f>
        <v>260.625</v>
      </c>
      <c r="E372" s="32">
        <f>'Rådata-K'!O371</f>
        <v>39.914163090128753</v>
      </c>
      <c r="F372" s="32">
        <f>'Rådata-K'!P371</f>
        <v>-5.3475935828877219E-3</v>
      </c>
      <c r="G372" s="32">
        <f>'Rådata-K'!Q371</f>
        <v>9.9462365591397844E-2</v>
      </c>
      <c r="H372" s="32">
        <f>'Rådata-K'!R371</f>
        <v>0.19623655913978494</v>
      </c>
      <c r="I372" s="32">
        <f>'Rådata-K'!S371</f>
        <v>2.8653295128939771E-3</v>
      </c>
      <c r="J372" s="32">
        <f>'Rådata-K'!T371</f>
        <v>0.88516746411483249</v>
      </c>
      <c r="K372" s="67">
        <f>'Rådata-K'!L371</f>
        <v>406000</v>
      </c>
      <c r="L372" s="18">
        <f>Tabell2[[#This Row],[NIBR11]]</f>
        <v>11</v>
      </c>
      <c r="M372" s="32">
        <f>IF(Tabell2[[#This Row],[ReisetidOslo]]&lt;=D$427,D$427,IF(Tabell2[[#This Row],[ReisetidOslo]]&gt;=D$428,D$428,Tabell2[[#This Row],[ReisetidOslo]]))</f>
        <v>260.625</v>
      </c>
      <c r="N372" s="32">
        <f>IF(Tabell2[[#This Row],[Beftettotal]]&lt;=E$427,E$427,IF(Tabell2[[#This Row],[Beftettotal]]&gt;=E$428,E$428,Tabell2[[#This Row],[Beftettotal]]))</f>
        <v>39.914163090128753</v>
      </c>
      <c r="O372" s="32">
        <f>IF(Tabell2[[#This Row],[Befvekst10]]&lt;=F$427,F$427,IF(Tabell2[[#This Row],[Befvekst10]]&gt;=F$428,F$428,Tabell2[[#This Row],[Befvekst10]]))</f>
        <v>-5.3475935828877219E-3</v>
      </c>
      <c r="P372" s="32">
        <f>IF(Tabell2[[#This Row],[Kvinneandel]]&lt;=G$427,G$427,IF(Tabell2[[#This Row],[Kvinneandel]]&gt;=G$428,G$428,Tabell2[[#This Row],[Kvinneandel]]))</f>
        <v>9.9462365591397844E-2</v>
      </c>
      <c r="Q372" s="32">
        <f>IF(Tabell2[[#This Row],[Eldreandel]]&lt;=H$427,H$427,IF(Tabell2[[#This Row],[Eldreandel]]&gt;=H$428,H$428,Tabell2[[#This Row],[Eldreandel]]))</f>
        <v>0.19623655913978494</v>
      </c>
      <c r="R372" s="32">
        <f>IF(Tabell2[[#This Row],[Sysselsettingsvekst10]]&lt;=I$427,I$427,IF(Tabell2[[#This Row],[Sysselsettingsvekst10]]&gt;=I$428,I$428,Tabell2[[#This Row],[Sysselsettingsvekst10]]))</f>
        <v>2.8653295128939771E-3</v>
      </c>
      <c r="S372" s="32">
        <f>IF(Tabell2[[#This Row],[Yrkesaktivandel]]&lt;=J$427,J$427,IF(Tabell2[[#This Row],[Yrkesaktivandel]]&gt;=J$428,J$428,Tabell2[[#This Row],[Yrkesaktivandel]]))</f>
        <v>0.88516746411483249</v>
      </c>
      <c r="T372" s="67">
        <f>IF(Tabell2[[#This Row],[Inntekt]]&lt;=K$427,K$427,IF(Tabell2[[#This Row],[Inntekt]]&gt;=K$428,K$428,Tabell2[[#This Row],[Inntekt]]))</f>
        <v>406000</v>
      </c>
      <c r="U372" s="10">
        <f>IF(Tabell2[[#This Row],[NIBR11-T]]&lt;=L$430,100,IF(Tabell2[[#This Row],[NIBR11-T]]&gt;=L$429,0,100*(L$429-Tabell2[[#This Row],[NIBR11-T]])/L$432))</f>
        <v>0</v>
      </c>
      <c r="V372" s="10">
        <f>(M$429-Tabell2[[#This Row],[ReisetidOslo-T]])*100/M$432</f>
        <v>11.247429308075777</v>
      </c>
      <c r="W372" s="10">
        <f>100-(N$429-Tabell2[[#This Row],[Beftettotal-T]])*100/N$432</f>
        <v>28.820023814028531</v>
      </c>
      <c r="X372" s="10">
        <f>100-(O$429-Tabell2[[#This Row],[Befvekst10-T]])*100/O$432</f>
        <v>21.185063562667821</v>
      </c>
      <c r="Y372" s="10">
        <f>100-(P$429-Tabell2[[#This Row],[Kvinneandel-T]])*100/P$432</f>
        <v>25.212967288772688</v>
      </c>
      <c r="Z372" s="10">
        <f>(Q$429-Tabell2[[#This Row],[Eldreandel-T]])*100/Q$432</f>
        <v>28.901828211106199</v>
      </c>
      <c r="AA372" s="10">
        <f>100-(R$429-Tabell2[[#This Row],[Sysselsettingsvekst10-T]])*100/R$432</f>
        <v>38.365652385106387</v>
      </c>
      <c r="AB372" s="10">
        <f>100-(S$429-Tabell2[[#This Row],[Yrkesaktivandel-T]])*100/S$432</f>
        <v>68.351557341679353</v>
      </c>
      <c r="AC372" s="10">
        <f>100-(T$429-Tabell2[[#This Row],[Inntekt-T]])*100/T$432</f>
        <v>52.060424303010109</v>
      </c>
      <c r="AD37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26.827261202717526</v>
      </c>
    </row>
    <row r="373" spans="1:30" x14ac:dyDescent="0.25">
      <c r="A373" s="2" t="s">
        <v>320</v>
      </c>
      <c r="B373" s="2">
        <v>371</v>
      </c>
      <c r="C373">
        <f>'Rådata-K'!N372</f>
        <v>9</v>
      </c>
      <c r="D373" s="30">
        <f>'Rådata-K'!M372</f>
        <v>266.875</v>
      </c>
      <c r="E373" s="32">
        <f>'Rådata-K'!O372</f>
        <v>7.5625070075120533</v>
      </c>
      <c r="F373" s="32">
        <f>'Rådata-K'!P372</f>
        <v>-7.4759945130315475E-2</v>
      </c>
      <c r="G373" s="32">
        <f>'Rådata-K'!Q372</f>
        <v>0.10155670867309118</v>
      </c>
      <c r="H373" s="32">
        <f>'Rådata-K'!R372</f>
        <v>0.21275018532246109</v>
      </c>
      <c r="I373" s="32">
        <f>'Rådata-K'!S372</f>
        <v>-9.061488673139162E-2</v>
      </c>
      <c r="J373" s="32">
        <f>'Rådata-K'!T372</f>
        <v>0.8644986449864499</v>
      </c>
      <c r="K373" s="67">
        <f>'Rådata-K'!L372</f>
        <v>387200</v>
      </c>
      <c r="L373" s="18">
        <f>Tabell2[[#This Row],[NIBR11]]</f>
        <v>9</v>
      </c>
      <c r="M373" s="32">
        <f>IF(Tabell2[[#This Row],[ReisetidOslo]]&lt;=D$427,D$427,IF(Tabell2[[#This Row],[ReisetidOslo]]&gt;=D$428,D$428,Tabell2[[#This Row],[ReisetidOslo]]))</f>
        <v>266.875</v>
      </c>
      <c r="N373" s="32">
        <f>IF(Tabell2[[#This Row],[Beftettotal]]&lt;=E$427,E$427,IF(Tabell2[[#This Row],[Beftettotal]]&gt;=E$428,E$428,Tabell2[[#This Row],[Beftettotal]]))</f>
        <v>7.5625070075120533</v>
      </c>
      <c r="O373" s="32">
        <f>IF(Tabell2[[#This Row],[Befvekst10]]&lt;=F$427,F$427,IF(Tabell2[[#This Row],[Befvekst10]]&gt;=F$428,F$428,Tabell2[[#This Row],[Befvekst10]]))</f>
        <v>-5.4526569027269343E-2</v>
      </c>
      <c r="P373" s="32">
        <f>IF(Tabell2[[#This Row],[Kvinneandel]]&lt;=G$427,G$427,IF(Tabell2[[#This Row],[Kvinneandel]]&gt;=G$428,G$428,Tabell2[[#This Row],[Kvinneandel]]))</f>
        <v>0.10155670867309118</v>
      </c>
      <c r="Q373" s="32">
        <f>IF(Tabell2[[#This Row],[Eldreandel]]&lt;=H$427,H$427,IF(Tabell2[[#This Row],[Eldreandel]]&gt;=H$428,H$428,Tabell2[[#This Row],[Eldreandel]]))</f>
        <v>0.21275018532246109</v>
      </c>
      <c r="R373" s="32">
        <f>IF(Tabell2[[#This Row],[Sysselsettingsvekst10]]&lt;=I$427,I$427,IF(Tabell2[[#This Row],[Sysselsettingsvekst10]]&gt;=I$428,I$428,Tabell2[[#This Row],[Sysselsettingsvekst10]]))</f>
        <v>-9.061488673139162E-2</v>
      </c>
      <c r="S373" s="32">
        <f>IF(Tabell2[[#This Row],[Yrkesaktivandel]]&lt;=J$427,J$427,IF(Tabell2[[#This Row],[Yrkesaktivandel]]&gt;=J$428,J$428,Tabell2[[#This Row],[Yrkesaktivandel]]))</f>
        <v>0.8644986449864499</v>
      </c>
      <c r="T373" s="67">
        <f>IF(Tabell2[[#This Row],[Inntekt]]&lt;=K$427,K$427,IF(Tabell2[[#This Row],[Inntekt]]&gt;=K$428,K$428,Tabell2[[#This Row],[Inntekt]]))</f>
        <v>387200</v>
      </c>
      <c r="U373" s="10">
        <f>IF(Tabell2[[#This Row],[NIBR11-T]]&lt;=L$430,100,IF(Tabell2[[#This Row],[NIBR11-T]]&gt;=L$429,0,100*(L$429-Tabell2[[#This Row],[NIBR11-T]])/L$432))</f>
        <v>20</v>
      </c>
      <c r="V373" s="10">
        <f>(M$429-Tabell2[[#This Row],[ReisetidOslo-T]])*100/M$432</f>
        <v>8.5547241828481599</v>
      </c>
      <c r="W373" s="10">
        <f>100-(N$429-Tabell2[[#This Row],[Beftettotal-T]])*100/N$432</f>
        <v>4.7081449133528253</v>
      </c>
      <c r="X373" s="10">
        <f>100-(O$429-Tabell2[[#This Row],[Befvekst10-T]])*100/O$432</f>
        <v>0</v>
      </c>
      <c r="Y373" s="10">
        <f>100-(P$429-Tabell2[[#This Row],[Kvinneandel-T]])*100/P$432</f>
        <v>30.744762357300658</v>
      </c>
      <c r="Z373" s="10">
        <f>(Q$429-Tabell2[[#This Row],[Eldreandel-T]])*100/Q$432</f>
        <v>11.090028391446063</v>
      </c>
      <c r="AA373" s="10">
        <f>100-(R$429-Tabell2[[#This Row],[Sysselsettingsvekst10-T]])*100/R$432</f>
        <v>5.6621469007640144</v>
      </c>
      <c r="AB373" s="10">
        <f>100-(S$429-Tabell2[[#This Row],[Yrkesaktivandel-T]])*100/S$432</f>
        <v>52.31991469494664</v>
      </c>
      <c r="AC373" s="10">
        <f>100-(T$429-Tabell2[[#This Row],[Inntekt-T]])*100/T$432</f>
        <v>31.178496056869932</v>
      </c>
      <c r="AD37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16.334082212315494</v>
      </c>
    </row>
    <row r="374" spans="1:30" x14ac:dyDescent="0.25">
      <c r="A374" s="2" t="s">
        <v>321</v>
      </c>
      <c r="B374" s="2">
        <v>372</v>
      </c>
      <c r="C374">
        <f>'Rådata-K'!N373</f>
        <v>9</v>
      </c>
      <c r="D374" s="30">
        <f>'Rådata-K'!M373</f>
        <v>241.90625</v>
      </c>
      <c r="E374" s="32">
        <f>'Rådata-K'!O373</f>
        <v>26.602284772111648</v>
      </c>
      <c r="F374" s="32">
        <f>'Rådata-K'!P373</f>
        <v>5.1093531875290754E-2</v>
      </c>
      <c r="G374" s="32">
        <f>'Rådata-K'!Q373</f>
        <v>0.11687621746059855</v>
      </c>
      <c r="H374" s="32">
        <f>'Rådata-K'!R373</f>
        <v>0.16327253408889675</v>
      </c>
      <c r="I374" s="32">
        <f>'Rådata-K'!S373</f>
        <v>0.1180629955003214</v>
      </c>
      <c r="J374" s="32">
        <f>'Rådata-K'!T373</f>
        <v>0.84597193756897371</v>
      </c>
      <c r="K374" s="67">
        <f>'Rådata-K'!L373</f>
        <v>386100</v>
      </c>
      <c r="L374" s="18">
        <f>Tabell2[[#This Row],[NIBR11]]</f>
        <v>9</v>
      </c>
      <c r="M374" s="32">
        <f>IF(Tabell2[[#This Row],[ReisetidOslo]]&lt;=D$427,D$427,IF(Tabell2[[#This Row],[ReisetidOslo]]&gt;=D$428,D$428,Tabell2[[#This Row],[ReisetidOslo]]))</f>
        <v>241.90625</v>
      </c>
      <c r="N374" s="32">
        <f>IF(Tabell2[[#This Row],[Beftettotal]]&lt;=E$427,E$427,IF(Tabell2[[#This Row],[Beftettotal]]&gt;=E$428,E$428,Tabell2[[#This Row],[Beftettotal]]))</f>
        <v>26.602284772111648</v>
      </c>
      <c r="O374" s="32">
        <f>IF(Tabell2[[#This Row],[Befvekst10]]&lt;=F$427,F$427,IF(Tabell2[[#This Row],[Befvekst10]]&gt;=F$428,F$428,Tabell2[[#This Row],[Befvekst10]]))</f>
        <v>5.1093531875290754E-2</v>
      </c>
      <c r="P374" s="32">
        <f>IF(Tabell2[[#This Row],[Kvinneandel]]&lt;=G$427,G$427,IF(Tabell2[[#This Row],[Kvinneandel]]&gt;=G$428,G$428,Tabell2[[#This Row],[Kvinneandel]]))</f>
        <v>0.11687621746059855</v>
      </c>
      <c r="Q374" s="32">
        <f>IF(Tabell2[[#This Row],[Eldreandel]]&lt;=H$427,H$427,IF(Tabell2[[#This Row],[Eldreandel]]&gt;=H$428,H$428,Tabell2[[#This Row],[Eldreandel]]))</f>
        <v>0.16327253408889675</v>
      </c>
      <c r="R374" s="32">
        <f>IF(Tabell2[[#This Row],[Sysselsettingsvekst10]]&lt;=I$427,I$427,IF(Tabell2[[#This Row],[Sysselsettingsvekst10]]&gt;=I$428,I$428,Tabell2[[#This Row],[Sysselsettingsvekst10]]))</f>
        <v>0.1180629955003214</v>
      </c>
      <c r="S374" s="32">
        <f>IF(Tabell2[[#This Row],[Yrkesaktivandel]]&lt;=J$427,J$427,IF(Tabell2[[#This Row],[Yrkesaktivandel]]&gt;=J$428,J$428,Tabell2[[#This Row],[Yrkesaktivandel]]))</f>
        <v>0.84597193756897371</v>
      </c>
      <c r="T374" s="67">
        <f>IF(Tabell2[[#This Row],[Inntekt]]&lt;=K$427,K$427,IF(Tabell2[[#This Row],[Inntekt]]&gt;=K$428,K$428,Tabell2[[#This Row],[Inntekt]]))</f>
        <v>386100</v>
      </c>
      <c r="U374" s="10">
        <f>IF(Tabell2[[#This Row],[NIBR11-T]]&lt;=L$430,100,IF(Tabell2[[#This Row],[NIBR11-T]]&gt;=L$429,0,100*(L$429-Tabell2[[#This Row],[NIBR11-T]])/L$432))</f>
        <v>20</v>
      </c>
      <c r="V374" s="10">
        <f>(M$429-Tabell2[[#This Row],[ReisetidOslo-T]])*100/M$432</f>
        <v>19.312081158132489</v>
      </c>
      <c r="W374" s="10">
        <f>100-(N$429-Tabell2[[#This Row],[Beftettotal-T]])*100/N$432</f>
        <v>18.898602878887402</v>
      </c>
      <c r="X374" s="10">
        <f>100-(O$429-Tabell2[[#This Row],[Befvekst10-T]])*100/O$432</f>
        <v>45.498478382224029</v>
      </c>
      <c r="Y374" s="10">
        <f>100-(P$429-Tabell2[[#This Row],[Kvinneandel-T]])*100/P$432</f>
        <v>71.208229830111364</v>
      </c>
      <c r="Z374" s="10">
        <f>(Q$429-Tabell2[[#This Row],[Eldreandel-T]])*100/Q$432</f>
        <v>64.45723009325846</v>
      </c>
      <c r="AA374" s="10">
        <f>100-(R$429-Tabell2[[#This Row],[Sysselsettingsvekst10-T]])*100/R$432</f>
        <v>78.666880310791385</v>
      </c>
      <c r="AB374" s="10">
        <f>100-(S$429-Tabell2[[#This Row],[Yrkesaktivandel-T]])*100/S$432</f>
        <v>37.949787843834507</v>
      </c>
      <c r="AC374" s="10">
        <f>100-(T$429-Tabell2[[#This Row],[Inntekt-T]])*100/T$432</f>
        <v>29.956681106297907</v>
      </c>
      <c r="AD37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38.36137200240767</v>
      </c>
    </row>
    <row r="375" spans="1:30" x14ac:dyDescent="0.25">
      <c r="A375" s="2" t="s">
        <v>322</v>
      </c>
      <c r="B375" s="2">
        <v>373</v>
      </c>
      <c r="C375">
        <f>'Rådata-K'!N374</f>
        <v>7</v>
      </c>
      <c r="D375" s="30">
        <f>'Rådata-K'!M374</f>
        <v>245.125</v>
      </c>
      <c r="E375" s="32">
        <f>'Rådata-K'!O374</f>
        <v>19.709902953146198</v>
      </c>
      <c r="F375" s="32">
        <f>'Rådata-K'!P374</f>
        <v>5.0266903914590655E-2</v>
      </c>
      <c r="G375" s="32">
        <f>'Rådata-K'!Q374</f>
        <v>0.11372299872935197</v>
      </c>
      <c r="H375" s="32">
        <f>'Rådata-K'!R374</f>
        <v>0.16624311732316815</v>
      </c>
      <c r="I375" s="32">
        <f>'Rådata-K'!S374</f>
        <v>5.975521958243335E-2</v>
      </c>
      <c r="J375" s="32">
        <f>'Rådata-K'!T374</f>
        <v>0.85128676470588238</v>
      </c>
      <c r="K375" s="67">
        <f>'Rådata-K'!L374</f>
        <v>392900</v>
      </c>
      <c r="L375" s="18">
        <f>Tabell2[[#This Row],[NIBR11]]</f>
        <v>7</v>
      </c>
      <c r="M375" s="32">
        <f>IF(Tabell2[[#This Row],[ReisetidOslo]]&lt;=D$427,D$427,IF(Tabell2[[#This Row],[ReisetidOslo]]&gt;=D$428,D$428,Tabell2[[#This Row],[ReisetidOslo]]))</f>
        <v>245.125</v>
      </c>
      <c r="N375" s="32">
        <f>IF(Tabell2[[#This Row],[Beftettotal]]&lt;=E$427,E$427,IF(Tabell2[[#This Row],[Beftettotal]]&gt;=E$428,E$428,Tabell2[[#This Row],[Beftettotal]]))</f>
        <v>19.709902953146198</v>
      </c>
      <c r="O375" s="32">
        <f>IF(Tabell2[[#This Row],[Befvekst10]]&lt;=F$427,F$427,IF(Tabell2[[#This Row],[Befvekst10]]&gt;=F$428,F$428,Tabell2[[#This Row],[Befvekst10]]))</f>
        <v>5.0266903914590655E-2</v>
      </c>
      <c r="P375" s="32">
        <f>IF(Tabell2[[#This Row],[Kvinneandel]]&lt;=G$427,G$427,IF(Tabell2[[#This Row],[Kvinneandel]]&gt;=G$428,G$428,Tabell2[[#This Row],[Kvinneandel]]))</f>
        <v>0.11372299872935197</v>
      </c>
      <c r="Q375" s="32">
        <f>IF(Tabell2[[#This Row],[Eldreandel]]&lt;=H$427,H$427,IF(Tabell2[[#This Row],[Eldreandel]]&gt;=H$428,H$428,Tabell2[[#This Row],[Eldreandel]]))</f>
        <v>0.16624311732316815</v>
      </c>
      <c r="R375" s="32">
        <f>IF(Tabell2[[#This Row],[Sysselsettingsvekst10]]&lt;=I$427,I$427,IF(Tabell2[[#This Row],[Sysselsettingsvekst10]]&gt;=I$428,I$428,Tabell2[[#This Row],[Sysselsettingsvekst10]]))</f>
        <v>5.975521958243335E-2</v>
      </c>
      <c r="S375" s="32">
        <f>IF(Tabell2[[#This Row],[Yrkesaktivandel]]&lt;=J$427,J$427,IF(Tabell2[[#This Row],[Yrkesaktivandel]]&gt;=J$428,J$428,Tabell2[[#This Row],[Yrkesaktivandel]]))</f>
        <v>0.85128676470588238</v>
      </c>
      <c r="T375" s="67">
        <f>IF(Tabell2[[#This Row],[Inntekt]]&lt;=K$427,K$427,IF(Tabell2[[#This Row],[Inntekt]]&gt;=K$428,K$428,Tabell2[[#This Row],[Inntekt]]))</f>
        <v>392900</v>
      </c>
      <c r="U375" s="10">
        <f>IF(Tabell2[[#This Row],[NIBR11-T]]&lt;=L$430,100,IF(Tabell2[[#This Row],[NIBR11-T]]&gt;=L$429,0,100*(L$429-Tabell2[[#This Row],[NIBR11-T]])/L$432))</f>
        <v>40</v>
      </c>
      <c r="V375" s="10">
        <f>(M$429-Tabell2[[#This Row],[ReisetidOslo-T]])*100/M$432</f>
        <v>17.925338018640268</v>
      </c>
      <c r="W375" s="10">
        <f>100-(N$429-Tabell2[[#This Row],[Beftettotal-T]])*100/N$432</f>
        <v>13.761670310992969</v>
      </c>
      <c r="X375" s="10">
        <f>100-(O$429-Tabell2[[#This Row],[Befvekst10-T]])*100/O$432</f>
        <v>45.142387883553212</v>
      </c>
      <c r="Y375" s="10">
        <f>100-(P$429-Tabell2[[#This Row],[Kvinneandel-T]])*100/P$432</f>
        <v>62.879623127623653</v>
      </c>
      <c r="Z375" s="10">
        <f>(Q$429-Tabell2[[#This Row],[Eldreandel-T]])*100/Q$432</f>
        <v>61.253122568286841</v>
      </c>
      <c r="AA375" s="10">
        <f>100-(R$429-Tabell2[[#This Row],[Sysselsettingsvekst10-T]])*100/R$432</f>
        <v>58.268246823173349</v>
      </c>
      <c r="AB375" s="10">
        <f>100-(S$429-Tabell2[[#This Row],[Yrkesaktivandel-T]])*100/S$432</f>
        <v>42.072200878601095</v>
      </c>
      <c r="AC375" s="10">
        <f>100-(T$429-Tabell2[[#This Row],[Inntekt-T]])*100/T$432</f>
        <v>37.509718982561367</v>
      </c>
      <c r="AD37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40.188832362903078</v>
      </c>
    </row>
    <row r="376" spans="1:30" x14ac:dyDescent="0.25">
      <c r="A376" s="2" t="s">
        <v>323</v>
      </c>
      <c r="B376" s="2">
        <v>374</v>
      </c>
      <c r="C376">
        <f>'Rådata-K'!N375</f>
        <v>8</v>
      </c>
      <c r="D376" s="30">
        <f>'Rådata-K'!M375</f>
        <v>290.0625</v>
      </c>
      <c r="E376" s="32">
        <f>'Rådata-K'!O375</f>
        <v>14.136190341711382</v>
      </c>
      <c r="F376" s="32">
        <f>'Rådata-K'!P375</f>
        <v>1.2899962058935177E-2</v>
      </c>
      <c r="G376" s="32">
        <f>'Rådata-K'!Q375</f>
        <v>0.10825321513297541</v>
      </c>
      <c r="H376" s="32">
        <f>'Rådata-K'!R375</f>
        <v>0.18966163066550132</v>
      </c>
      <c r="I376" s="32">
        <f>'Rådata-K'!S375</f>
        <v>-3.2644178454842243E-2</v>
      </c>
      <c r="J376" s="32">
        <f>'Rådata-K'!T375</f>
        <v>0.82956326987681972</v>
      </c>
      <c r="K376" s="67">
        <f>'Rådata-K'!L375</f>
        <v>390200</v>
      </c>
      <c r="L376" s="18">
        <f>Tabell2[[#This Row],[NIBR11]]</f>
        <v>8</v>
      </c>
      <c r="M376" s="32">
        <f>IF(Tabell2[[#This Row],[ReisetidOslo]]&lt;=D$427,D$427,IF(Tabell2[[#This Row],[ReisetidOslo]]&gt;=D$428,D$428,Tabell2[[#This Row],[ReisetidOslo]]))</f>
        <v>286.73125000000005</v>
      </c>
      <c r="N376" s="32">
        <f>IF(Tabell2[[#This Row],[Beftettotal]]&lt;=E$427,E$427,IF(Tabell2[[#This Row],[Beftettotal]]&gt;=E$428,E$428,Tabell2[[#This Row],[Beftettotal]]))</f>
        <v>14.136190341711382</v>
      </c>
      <c r="O376" s="32">
        <f>IF(Tabell2[[#This Row],[Befvekst10]]&lt;=F$427,F$427,IF(Tabell2[[#This Row],[Befvekst10]]&gt;=F$428,F$428,Tabell2[[#This Row],[Befvekst10]]))</f>
        <v>1.2899962058935177E-2</v>
      </c>
      <c r="P376" s="32">
        <f>IF(Tabell2[[#This Row],[Kvinneandel]]&lt;=G$427,G$427,IF(Tabell2[[#This Row],[Kvinneandel]]&gt;=G$428,G$428,Tabell2[[#This Row],[Kvinneandel]]))</f>
        <v>0.10825321513297541</v>
      </c>
      <c r="Q376" s="32">
        <f>IF(Tabell2[[#This Row],[Eldreandel]]&lt;=H$427,H$427,IF(Tabell2[[#This Row],[Eldreandel]]&gt;=H$428,H$428,Tabell2[[#This Row],[Eldreandel]]))</f>
        <v>0.18966163066550132</v>
      </c>
      <c r="R376" s="32">
        <f>IF(Tabell2[[#This Row],[Sysselsettingsvekst10]]&lt;=I$427,I$427,IF(Tabell2[[#This Row],[Sysselsettingsvekst10]]&gt;=I$428,I$428,Tabell2[[#This Row],[Sysselsettingsvekst10]]))</f>
        <v>-3.2644178454842243E-2</v>
      </c>
      <c r="S376" s="32">
        <f>IF(Tabell2[[#This Row],[Yrkesaktivandel]]&lt;=J$427,J$427,IF(Tabell2[[#This Row],[Yrkesaktivandel]]&gt;=J$428,J$428,Tabell2[[#This Row],[Yrkesaktivandel]]))</f>
        <v>0.82956326987681972</v>
      </c>
      <c r="T376" s="67">
        <f>IF(Tabell2[[#This Row],[Inntekt]]&lt;=K$427,K$427,IF(Tabell2[[#This Row],[Inntekt]]&gt;=K$428,K$428,Tabell2[[#This Row],[Inntekt]]))</f>
        <v>390200</v>
      </c>
      <c r="U376" s="10">
        <f>IF(Tabell2[[#This Row],[NIBR11-T]]&lt;=L$430,100,IF(Tabell2[[#This Row],[NIBR11-T]]&gt;=L$429,0,100*(L$429-Tabell2[[#This Row],[NIBR11-T]])/L$432))</f>
        <v>30</v>
      </c>
      <c r="V376" s="10">
        <f>(M$429-Tabell2[[#This Row],[ReisetidOslo-T]])*100/M$432</f>
        <v>0</v>
      </c>
      <c r="W376" s="10">
        <f>100-(N$429-Tabell2[[#This Row],[Beftettotal-T]])*100/N$432</f>
        <v>9.6075496325681939</v>
      </c>
      <c r="X376" s="10">
        <f>100-(O$429-Tabell2[[#This Row],[Befvekst10-T]])*100/O$432</f>
        <v>29.045650788046856</v>
      </c>
      <c r="Y376" s="10">
        <f>100-(P$429-Tabell2[[#This Row],[Kvinneandel-T]])*100/P$432</f>
        <v>48.432266250503545</v>
      </c>
      <c r="Z376" s="10">
        <f>(Q$429-Tabell2[[#This Row],[Eldreandel-T]])*100/Q$432</f>
        <v>35.993626736579699</v>
      </c>
      <c r="AA376" s="10">
        <f>100-(R$429-Tabell2[[#This Row],[Sysselsettingsvekst10-T]])*100/R$432</f>
        <v>25.942859250626995</v>
      </c>
      <c r="AB376" s="10">
        <f>100-(S$429-Tabell2[[#This Row],[Yrkesaktivandel-T]])*100/S$432</f>
        <v>25.222505500530815</v>
      </c>
      <c r="AC376" s="10">
        <f>100-(T$429-Tabell2[[#This Row],[Inntekt-T]])*100/T$432</f>
        <v>34.510718649339111</v>
      </c>
      <c r="AD37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25.558788110270047</v>
      </c>
    </row>
    <row r="377" spans="1:30" x14ac:dyDescent="0.25">
      <c r="A377" s="2" t="s">
        <v>324</v>
      </c>
      <c r="B377" s="2">
        <v>375</v>
      </c>
      <c r="C377">
        <f>'Rådata-K'!N376</f>
        <v>8</v>
      </c>
      <c r="D377" s="30">
        <f>'Rådata-K'!M376</f>
        <v>338.75</v>
      </c>
      <c r="E377" s="32">
        <f>'Rådata-K'!O376</f>
        <v>10.636831651060033</v>
      </c>
      <c r="F377" s="32">
        <f>'Rådata-K'!P376</f>
        <v>-9.4860296654018628E-2</v>
      </c>
      <c r="G377" s="32">
        <f>'Rådata-K'!Q376</f>
        <v>8.2317073170731711E-2</v>
      </c>
      <c r="H377" s="32">
        <f>'Rådata-K'!R376</f>
        <v>0.25838414634146339</v>
      </c>
      <c r="I377" s="32">
        <f>'Rådata-K'!S376</f>
        <v>-8.6105675146771032E-2</v>
      </c>
      <c r="J377" s="32">
        <f>'Rådata-K'!T376</f>
        <v>0.77568740955137483</v>
      </c>
      <c r="K377" s="67">
        <f>'Rådata-K'!L376</f>
        <v>344000</v>
      </c>
      <c r="L377" s="18">
        <f>Tabell2[[#This Row],[NIBR11]]</f>
        <v>8</v>
      </c>
      <c r="M377" s="32">
        <f>IF(Tabell2[[#This Row],[ReisetidOslo]]&lt;=D$427,D$427,IF(Tabell2[[#This Row],[ReisetidOslo]]&gt;=D$428,D$428,Tabell2[[#This Row],[ReisetidOslo]]))</f>
        <v>286.73125000000005</v>
      </c>
      <c r="N377" s="32">
        <f>IF(Tabell2[[#This Row],[Beftettotal]]&lt;=E$427,E$427,IF(Tabell2[[#This Row],[Beftettotal]]&gt;=E$428,E$428,Tabell2[[#This Row],[Beftettotal]]))</f>
        <v>10.636831651060033</v>
      </c>
      <c r="O377" s="32">
        <f>IF(Tabell2[[#This Row],[Befvekst10]]&lt;=F$427,F$427,IF(Tabell2[[#This Row],[Befvekst10]]&gt;=F$428,F$428,Tabell2[[#This Row],[Befvekst10]]))</f>
        <v>-5.4526569027269343E-2</v>
      </c>
      <c r="P377" s="32">
        <f>IF(Tabell2[[#This Row],[Kvinneandel]]&lt;=G$427,G$427,IF(Tabell2[[#This Row],[Kvinneandel]]&gt;=G$428,G$428,Tabell2[[#This Row],[Kvinneandel]]))</f>
        <v>8.9916711250255951E-2</v>
      </c>
      <c r="Q377" s="32">
        <f>IF(Tabell2[[#This Row],[Eldreandel]]&lt;=H$427,H$427,IF(Tabell2[[#This Row],[Eldreandel]]&gt;=H$428,H$428,Tabell2[[#This Row],[Eldreandel]]))</f>
        <v>0.22303194152148736</v>
      </c>
      <c r="R377" s="32">
        <f>IF(Tabell2[[#This Row],[Sysselsettingsvekst10]]&lt;=I$427,I$427,IF(Tabell2[[#This Row],[Sysselsettingsvekst10]]&gt;=I$428,I$428,Tabell2[[#This Row],[Sysselsettingsvekst10]]))</f>
        <v>-8.6105675146771032E-2</v>
      </c>
      <c r="S377" s="32">
        <f>IF(Tabell2[[#This Row],[Yrkesaktivandel]]&lt;=J$427,J$427,IF(Tabell2[[#This Row],[Yrkesaktivandel]]&gt;=J$428,J$428,Tabell2[[#This Row],[Yrkesaktivandel]]))</f>
        <v>0.7970451171433347</v>
      </c>
      <c r="T377" s="67">
        <f>IF(Tabell2[[#This Row],[Inntekt]]&lt;=K$427,K$427,IF(Tabell2[[#This Row],[Inntekt]]&gt;=K$428,K$428,Tabell2[[#This Row],[Inntekt]]))</f>
        <v>359130</v>
      </c>
      <c r="U377" s="10">
        <f>IF(Tabell2[[#This Row],[NIBR11-T]]&lt;=L$430,100,IF(Tabell2[[#This Row],[NIBR11-T]]&gt;=L$429,0,100*(L$429-Tabell2[[#This Row],[NIBR11-T]])/L$432))</f>
        <v>30</v>
      </c>
      <c r="V377" s="10">
        <f>(M$429-Tabell2[[#This Row],[ReisetidOslo-T]])*100/M$432</f>
        <v>0</v>
      </c>
      <c r="W377" s="10">
        <f>100-(N$429-Tabell2[[#This Row],[Beftettotal-T]])*100/N$432</f>
        <v>6.9994570896844266</v>
      </c>
      <c r="X377" s="10">
        <f>100-(O$429-Tabell2[[#This Row],[Befvekst10-T]])*100/O$432</f>
        <v>0</v>
      </c>
      <c r="Y377" s="10">
        <f>100-(P$429-Tabell2[[#This Row],[Kvinneandel-T]])*100/P$432</f>
        <v>0</v>
      </c>
      <c r="Z377" s="10">
        <f>(Q$429-Tabell2[[#This Row],[Eldreandel-T]])*100/Q$432</f>
        <v>0</v>
      </c>
      <c r="AA377" s="10">
        <f>100-(R$429-Tabell2[[#This Row],[Sysselsettingsvekst10-T]])*100/R$432</f>
        <v>7.2396681315914435</v>
      </c>
      <c r="AB377" s="10">
        <f>100-(S$429-Tabell2[[#This Row],[Yrkesaktivandel-T]])*100/S$432</f>
        <v>0</v>
      </c>
      <c r="AC377" s="10">
        <f>100-(T$429-Tabell2[[#This Row],[Inntekt-T]])*100/T$432</f>
        <v>0</v>
      </c>
      <c r="AD37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7.423912522127587</v>
      </c>
    </row>
    <row r="378" spans="1:30" x14ac:dyDescent="0.25">
      <c r="A378" s="2" t="s">
        <v>325</v>
      </c>
      <c r="B378" s="2">
        <v>376</v>
      </c>
      <c r="C378">
        <f>'Rådata-K'!N377</f>
        <v>8</v>
      </c>
      <c r="D378" s="30">
        <f>'Rådata-K'!M377</f>
        <v>327.5</v>
      </c>
      <c r="E378" s="32">
        <f>'Rådata-K'!O377</f>
        <v>14.334449625989798</v>
      </c>
      <c r="F378" s="32">
        <f>'Rådata-K'!P377</f>
        <v>2.0954079358002753E-2</v>
      </c>
      <c r="G378" s="32">
        <f>'Rådata-K'!Q377</f>
        <v>0.10262008733624454</v>
      </c>
      <c r="H378" s="32">
        <f>'Rådata-K'!R377</f>
        <v>0.1722707423580786</v>
      </c>
      <c r="I378" s="32">
        <f>'Rådata-K'!S377</f>
        <v>9.880395215808635E-3</v>
      </c>
      <c r="J378" s="32">
        <f>'Rådata-K'!T377</f>
        <v>0.7989497374343586</v>
      </c>
      <c r="K378" s="67">
        <f>'Rådata-K'!L377</f>
        <v>387800</v>
      </c>
      <c r="L378" s="18">
        <f>Tabell2[[#This Row],[NIBR11]]</f>
        <v>8</v>
      </c>
      <c r="M378" s="32">
        <f>IF(Tabell2[[#This Row],[ReisetidOslo]]&lt;=D$427,D$427,IF(Tabell2[[#This Row],[ReisetidOslo]]&gt;=D$428,D$428,Tabell2[[#This Row],[ReisetidOslo]]))</f>
        <v>286.73125000000005</v>
      </c>
      <c r="N378" s="32">
        <f>IF(Tabell2[[#This Row],[Beftettotal]]&lt;=E$427,E$427,IF(Tabell2[[#This Row],[Beftettotal]]&gt;=E$428,E$428,Tabell2[[#This Row],[Beftettotal]]))</f>
        <v>14.334449625989798</v>
      </c>
      <c r="O378" s="32">
        <f>IF(Tabell2[[#This Row],[Befvekst10]]&lt;=F$427,F$427,IF(Tabell2[[#This Row],[Befvekst10]]&gt;=F$428,F$428,Tabell2[[#This Row],[Befvekst10]]))</f>
        <v>2.0954079358002753E-2</v>
      </c>
      <c r="P378" s="32">
        <f>IF(Tabell2[[#This Row],[Kvinneandel]]&lt;=G$427,G$427,IF(Tabell2[[#This Row],[Kvinneandel]]&gt;=G$428,G$428,Tabell2[[#This Row],[Kvinneandel]]))</f>
        <v>0.10262008733624454</v>
      </c>
      <c r="Q378" s="32">
        <f>IF(Tabell2[[#This Row],[Eldreandel]]&lt;=H$427,H$427,IF(Tabell2[[#This Row],[Eldreandel]]&gt;=H$428,H$428,Tabell2[[#This Row],[Eldreandel]]))</f>
        <v>0.1722707423580786</v>
      </c>
      <c r="R378" s="32">
        <f>IF(Tabell2[[#This Row],[Sysselsettingsvekst10]]&lt;=I$427,I$427,IF(Tabell2[[#This Row],[Sysselsettingsvekst10]]&gt;=I$428,I$428,Tabell2[[#This Row],[Sysselsettingsvekst10]]))</f>
        <v>9.880395215808635E-3</v>
      </c>
      <c r="S378" s="32">
        <f>IF(Tabell2[[#This Row],[Yrkesaktivandel]]&lt;=J$427,J$427,IF(Tabell2[[#This Row],[Yrkesaktivandel]]&gt;=J$428,J$428,Tabell2[[#This Row],[Yrkesaktivandel]]))</f>
        <v>0.7989497374343586</v>
      </c>
      <c r="T378" s="67">
        <f>IF(Tabell2[[#This Row],[Inntekt]]&lt;=K$427,K$427,IF(Tabell2[[#This Row],[Inntekt]]&gt;=K$428,K$428,Tabell2[[#This Row],[Inntekt]]))</f>
        <v>387800</v>
      </c>
      <c r="U378" s="10">
        <f>IF(Tabell2[[#This Row],[NIBR11-T]]&lt;=L$430,100,IF(Tabell2[[#This Row],[NIBR11-T]]&gt;=L$429,0,100*(L$429-Tabell2[[#This Row],[NIBR11-T]])/L$432))</f>
        <v>30</v>
      </c>
      <c r="V378" s="10">
        <f>(M$429-Tabell2[[#This Row],[ReisetidOslo-T]])*100/M$432</f>
        <v>0</v>
      </c>
      <c r="W378" s="10">
        <f>100-(N$429-Tabell2[[#This Row],[Beftettotal-T]])*100/N$432</f>
        <v>9.7553134391952057</v>
      </c>
      <c r="X378" s="10">
        <f>100-(O$429-Tabell2[[#This Row],[Befvekst10-T]])*100/O$432</f>
        <v>32.515161597902946</v>
      </c>
      <c r="Y378" s="10">
        <f>100-(P$429-Tabell2[[#This Row],[Kvinneandel-T]])*100/P$432</f>
        <v>33.553467815459712</v>
      </c>
      <c r="Z378" s="10">
        <f>(Q$429-Tabell2[[#This Row],[Eldreandel-T]])*100/Q$432</f>
        <v>54.751652247829469</v>
      </c>
      <c r="AA378" s="10">
        <f>100-(R$429-Tabell2[[#This Row],[Sysselsettingsvekst10-T]])*100/R$432</f>
        <v>40.819831984870802</v>
      </c>
      <c r="AB378" s="10">
        <f>100-(S$429-Tabell2[[#This Row],[Yrkesaktivandel-T]])*100/S$432</f>
        <v>1.4773070340279588</v>
      </c>
      <c r="AC378" s="10">
        <f>100-(T$429-Tabell2[[#This Row],[Inntekt-T]])*100/T$432</f>
        <v>31.844940575363765</v>
      </c>
      <c r="AD37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25.308027626090823</v>
      </c>
    </row>
    <row r="379" spans="1:30" x14ac:dyDescent="0.25">
      <c r="A379" s="2" t="s">
        <v>326</v>
      </c>
      <c r="B379" s="2">
        <v>377</v>
      </c>
      <c r="C379">
        <f>'Rådata-K'!N378</f>
        <v>8</v>
      </c>
      <c r="D379" s="30">
        <f>'Rådata-K'!M378</f>
        <v>296.5</v>
      </c>
      <c r="E379" s="32">
        <f>'Rådata-K'!O378</f>
        <v>14.375554078014183</v>
      </c>
      <c r="F379" s="32">
        <f>'Rådata-K'!P378</f>
        <v>6.9566113573121813E-2</v>
      </c>
      <c r="G379" s="32">
        <f>'Rådata-K'!Q378</f>
        <v>0.11649643476585084</v>
      </c>
      <c r="H379" s="32">
        <f>'Rådata-K'!R378</f>
        <v>0.1486798997880131</v>
      </c>
      <c r="I379" s="32">
        <f>'Rådata-K'!S378</f>
        <v>-8.7076983969919253E-3</v>
      </c>
      <c r="J379" s="32">
        <f>'Rådata-K'!T378</f>
        <v>0.84107292539815592</v>
      </c>
      <c r="K379" s="67">
        <f>'Rådata-K'!L378</f>
        <v>403400</v>
      </c>
      <c r="L379" s="18">
        <f>Tabell2[[#This Row],[NIBR11]]</f>
        <v>8</v>
      </c>
      <c r="M379" s="32">
        <f>IF(Tabell2[[#This Row],[ReisetidOslo]]&lt;=D$427,D$427,IF(Tabell2[[#This Row],[ReisetidOslo]]&gt;=D$428,D$428,Tabell2[[#This Row],[ReisetidOslo]]))</f>
        <v>286.73125000000005</v>
      </c>
      <c r="N379" s="32">
        <f>IF(Tabell2[[#This Row],[Beftettotal]]&lt;=E$427,E$427,IF(Tabell2[[#This Row],[Beftettotal]]&gt;=E$428,E$428,Tabell2[[#This Row],[Beftettotal]]))</f>
        <v>14.375554078014183</v>
      </c>
      <c r="O379" s="32">
        <f>IF(Tabell2[[#This Row],[Befvekst10]]&lt;=F$427,F$427,IF(Tabell2[[#This Row],[Befvekst10]]&gt;=F$428,F$428,Tabell2[[#This Row],[Befvekst10]]))</f>
        <v>6.9566113573121813E-2</v>
      </c>
      <c r="P379" s="32">
        <f>IF(Tabell2[[#This Row],[Kvinneandel]]&lt;=G$427,G$427,IF(Tabell2[[#This Row],[Kvinneandel]]&gt;=G$428,G$428,Tabell2[[#This Row],[Kvinneandel]]))</f>
        <v>0.11649643476585084</v>
      </c>
      <c r="Q379" s="32">
        <f>IF(Tabell2[[#This Row],[Eldreandel]]&lt;=H$427,H$427,IF(Tabell2[[#This Row],[Eldreandel]]&gt;=H$428,H$428,Tabell2[[#This Row],[Eldreandel]]))</f>
        <v>0.1486798997880131</v>
      </c>
      <c r="R379" s="32">
        <f>IF(Tabell2[[#This Row],[Sysselsettingsvekst10]]&lt;=I$427,I$427,IF(Tabell2[[#This Row],[Sysselsettingsvekst10]]&gt;=I$428,I$428,Tabell2[[#This Row],[Sysselsettingsvekst10]]))</f>
        <v>-8.7076983969919253E-3</v>
      </c>
      <c r="S379" s="32">
        <f>IF(Tabell2[[#This Row],[Yrkesaktivandel]]&lt;=J$427,J$427,IF(Tabell2[[#This Row],[Yrkesaktivandel]]&gt;=J$428,J$428,Tabell2[[#This Row],[Yrkesaktivandel]]))</f>
        <v>0.84107292539815592</v>
      </c>
      <c r="T379" s="67">
        <f>IF(Tabell2[[#This Row],[Inntekt]]&lt;=K$427,K$427,IF(Tabell2[[#This Row],[Inntekt]]&gt;=K$428,K$428,Tabell2[[#This Row],[Inntekt]]))</f>
        <v>403400</v>
      </c>
      <c r="U379" s="10">
        <f>IF(Tabell2[[#This Row],[NIBR11-T]]&lt;=L$430,100,IF(Tabell2[[#This Row],[NIBR11-T]]&gt;=L$429,0,100*(L$429-Tabell2[[#This Row],[NIBR11-T]])/L$432))</f>
        <v>30</v>
      </c>
      <c r="V379" s="10">
        <f>(M$429-Tabell2[[#This Row],[ReisetidOslo-T]])*100/M$432</f>
        <v>0</v>
      </c>
      <c r="W379" s="10">
        <f>100-(N$429-Tabell2[[#This Row],[Beftettotal-T]])*100/N$432</f>
        <v>9.7859488282139182</v>
      </c>
      <c r="X379" s="10">
        <f>100-(O$429-Tabell2[[#This Row],[Befvekst10-T]])*100/O$432</f>
        <v>53.456001163025142</v>
      </c>
      <c r="Y379" s="10">
        <f>100-(P$429-Tabell2[[#This Row],[Kvinneandel-T]])*100/P$432</f>
        <v>70.205108585898103</v>
      </c>
      <c r="Z379" s="10">
        <f>(Q$429-Tabell2[[#This Row],[Eldreandel-T]])*100/Q$432</f>
        <v>80.197024499015285</v>
      </c>
      <c r="AA379" s="10">
        <f>100-(R$429-Tabell2[[#This Row],[Sysselsettingsvekst10-T]])*100/R$432</f>
        <v>34.316896435159208</v>
      </c>
      <c r="AB379" s="10">
        <f>100-(S$429-Tabell2[[#This Row],[Yrkesaktivandel-T]])*100/S$432</f>
        <v>34.149899134339037</v>
      </c>
      <c r="AC379" s="10">
        <f>100-(T$429-Tabell2[[#This Row],[Inntekt-T]])*100/T$432</f>
        <v>49.172498056203487</v>
      </c>
      <c r="AD37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36.953831132242264</v>
      </c>
    </row>
    <row r="380" spans="1:30" x14ac:dyDescent="0.25">
      <c r="A380" s="2" t="s">
        <v>327</v>
      </c>
      <c r="B380" s="2">
        <v>378</v>
      </c>
      <c r="C380">
        <f>'Rådata-K'!N379</f>
        <v>9</v>
      </c>
      <c r="D380" s="30">
        <f>'Rådata-K'!M379</f>
        <v>239.15625</v>
      </c>
      <c r="E380" s="32">
        <f>'Rådata-K'!O379</f>
        <v>7.4803389623849297</v>
      </c>
      <c r="F380" s="32">
        <f>'Rådata-K'!P379</f>
        <v>-4.7360248447204989E-2</v>
      </c>
      <c r="G380" s="32">
        <f>'Rådata-K'!Q379</f>
        <v>9.9837000814995927E-2</v>
      </c>
      <c r="H380" s="32">
        <f>'Rådata-K'!R379</f>
        <v>0.21434392828035859</v>
      </c>
      <c r="I380" s="32">
        <f>'Rådata-K'!S379</f>
        <v>-0.18590522478736327</v>
      </c>
      <c r="J380" s="32">
        <f>'Rådata-K'!T379</f>
        <v>0.81154562383612661</v>
      </c>
      <c r="K380" s="67">
        <f>'Rådata-K'!L379</f>
        <v>381000</v>
      </c>
      <c r="L380" s="18">
        <f>Tabell2[[#This Row],[NIBR11]]</f>
        <v>9</v>
      </c>
      <c r="M380" s="32">
        <f>IF(Tabell2[[#This Row],[ReisetidOslo]]&lt;=D$427,D$427,IF(Tabell2[[#This Row],[ReisetidOslo]]&gt;=D$428,D$428,Tabell2[[#This Row],[ReisetidOslo]]))</f>
        <v>239.15625</v>
      </c>
      <c r="N380" s="32">
        <f>IF(Tabell2[[#This Row],[Beftettotal]]&lt;=E$427,E$427,IF(Tabell2[[#This Row],[Beftettotal]]&gt;=E$428,E$428,Tabell2[[#This Row],[Beftettotal]]))</f>
        <v>7.4803389623849297</v>
      </c>
      <c r="O380" s="32">
        <f>IF(Tabell2[[#This Row],[Befvekst10]]&lt;=F$427,F$427,IF(Tabell2[[#This Row],[Befvekst10]]&gt;=F$428,F$428,Tabell2[[#This Row],[Befvekst10]]))</f>
        <v>-4.7360248447204989E-2</v>
      </c>
      <c r="P380" s="32">
        <f>IF(Tabell2[[#This Row],[Kvinneandel]]&lt;=G$427,G$427,IF(Tabell2[[#This Row],[Kvinneandel]]&gt;=G$428,G$428,Tabell2[[#This Row],[Kvinneandel]]))</f>
        <v>9.9837000814995927E-2</v>
      </c>
      <c r="Q380" s="32">
        <f>IF(Tabell2[[#This Row],[Eldreandel]]&lt;=H$427,H$427,IF(Tabell2[[#This Row],[Eldreandel]]&gt;=H$428,H$428,Tabell2[[#This Row],[Eldreandel]]))</f>
        <v>0.21434392828035859</v>
      </c>
      <c r="R380" s="32">
        <f>IF(Tabell2[[#This Row],[Sysselsettingsvekst10]]&lt;=I$427,I$427,IF(Tabell2[[#This Row],[Sysselsettingsvekst10]]&gt;=I$428,I$428,Tabell2[[#This Row],[Sysselsettingsvekst10]]))</f>
        <v>-0.10679965679965678</v>
      </c>
      <c r="S380" s="32">
        <f>IF(Tabell2[[#This Row],[Yrkesaktivandel]]&lt;=J$427,J$427,IF(Tabell2[[#This Row],[Yrkesaktivandel]]&gt;=J$428,J$428,Tabell2[[#This Row],[Yrkesaktivandel]]))</f>
        <v>0.81154562383612661</v>
      </c>
      <c r="T380" s="67">
        <f>IF(Tabell2[[#This Row],[Inntekt]]&lt;=K$427,K$427,IF(Tabell2[[#This Row],[Inntekt]]&gt;=K$428,K$428,Tabell2[[#This Row],[Inntekt]]))</f>
        <v>381000</v>
      </c>
      <c r="U380" s="10">
        <f>IF(Tabell2[[#This Row],[NIBR11-T]]&lt;=L$430,100,IF(Tabell2[[#This Row],[NIBR11-T]]&gt;=L$429,0,100*(L$429-Tabell2[[#This Row],[NIBR11-T]])/L$432))</f>
        <v>20</v>
      </c>
      <c r="V380" s="10">
        <f>(M$429-Tabell2[[#This Row],[ReisetidOslo-T]])*100/M$432</f>
        <v>20.496871413232643</v>
      </c>
      <c r="W380" s="10">
        <f>100-(N$429-Tabell2[[#This Row],[Beftettotal-T]])*100/N$432</f>
        <v>4.6469045877092015</v>
      </c>
      <c r="X380" s="10">
        <f>100-(O$429-Tabell2[[#This Row],[Befvekst10-T]])*100/O$432</f>
        <v>3.0870703512482862</v>
      </c>
      <c r="Y380" s="10">
        <f>100-(P$429-Tabell2[[#This Row],[Kvinneandel-T]])*100/P$432</f>
        <v>26.202492501003505</v>
      </c>
      <c r="Z380" s="10">
        <f>(Q$429-Tabell2[[#This Row],[Eldreandel-T]])*100/Q$432</f>
        <v>9.3709976821374443</v>
      </c>
      <c r="AA380" s="10">
        <f>100-(R$429-Tabell2[[#This Row],[Sysselsettingsvekst10-T]])*100/R$432</f>
        <v>0</v>
      </c>
      <c r="AB380" s="10">
        <f>100-(S$429-Tabell2[[#This Row],[Yrkesaktivandel-T]])*100/S$432</f>
        <v>11.247228980593789</v>
      </c>
      <c r="AC380" s="10">
        <f>100-(T$429-Tabell2[[#This Row],[Inntekt-T]])*100/T$432</f>
        <v>24.291902699100305</v>
      </c>
      <c r="AD38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12.464379347470299</v>
      </c>
    </row>
    <row r="381" spans="1:30" x14ac:dyDescent="0.25">
      <c r="A381" s="2" t="s">
        <v>328</v>
      </c>
      <c r="B381" s="2">
        <v>379</v>
      </c>
      <c r="C381">
        <f>'Rådata-K'!N380</f>
        <v>11</v>
      </c>
      <c r="D381" s="30">
        <f>'Rådata-K'!M380</f>
        <v>288.8125</v>
      </c>
      <c r="E381" s="32">
        <f>'Rådata-K'!O380</f>
        <v>9.0327468642141593</v>
      </c>
      <c r="F381" s="32">
        <f>'Rådata-K'!P380</f>
        <v>-7.1799307958477554E-2</v>
      </c>
      <c r="G381" s="32">
        <f>'Rådata-K'!Q380</f>
        <v>0.10531220876048462</v>
      </c>
      <c r="H381" s="32">
        <f>'Rådata-K'!R380</f>
        <v>0.23112767940354148</v>
      </c>
      <c r="I381" s="32">
        <f>'Rådata-K'!S380</f>
        <v>-7.385229540918159E-2</v>
      </c>
      <c r="J381" s="32">
        <f>'Rådata-K'!T380</f>
        <v>0.80794701986754969</v>
      </c>
      <c r="K381" s="67">
        <f>'Rådata-K'!L380</f>
        <v>382800</v>
      </c>
      <c r="L381" s="18">
        <f>Tabell2[[#This Row],[NIBR11]]</f>
        <v>11</v>
      </c>
      <c r="M381" s="32">
        <f>IF(Tabell2[[#This Row],[ReisetidOslo]]&lt;=D$427,D$427,IF(Tabell2[[#This Row],[ReisetidOslo]]&gt;=D$428,D$428,Tabell2[[#This Row],[ReisetidOslo]]))</f>
        <v>286.73125000000005</v>
      </c>
      <c r="N381" s="32">
        <f>IF(Tabell2[[#This Row],[Beftettotal]]&lt;=E$427,E$427,IF(Tabell2[[#This Row],[Beftettotal]]&gt;=E$428,E$428,Tabell2[[#This Row],[Beftettotal]]))</f>
        <v>9.0327468642141593</v>
      </c>
      <c r="O381" s="32">
        <f>IF(Tabell2[[#This Row],[Befvekst10]]&lt;=F$427,F$427,IF(Tabell2[[#This Row],[Befvekst10]]&gt;=F$428,F$428,Tabell2[[#This Row],[Befvekst10]]))</f>
        <v>-5.4526569027269343E-2</v>
      </c>
      <c r="P381" s="32">
        <f>IF(Tabell2[[#This Row],[Kvinneandel]]&lt;=G$427,G$427,IF(Tabell2[[#This Row],[Kvinneandel]]&gt;=G$428,G$428,Tabell2[[#This Row],[Kvinneandel]]))</f>
        <v>0.10531220876048462</v>
      </c>
      <c r="Q381" s="32">
        <f>IF(Tabell2[[#This Row],[Eldreandel]]&lt;=H$427,H$427,IF(Tabell2[[#This Row],[Eldreandel]]&gt;=H$428,H$428,Tabell2[[#This Row],[Eldreandel]]))</f>
        <v>0.22303194152148736</v>
      </c>
      <c r="R381" s="32">
        <f>IF(Tabell2[[#This Row],[Sysselsettingsvekst10]]&lt;=I$427,I$427,IF(Tabell2[[#This Row],[Sysselsettingsvekst10]]&gt;=I$428,I$428,Tabell2[[#This Row],[Sysselsettingsvekst10]]))</f>
        <v>-7.385229540918159E-2</v>
      </c>
      <c r="S381" s="32">
        <f>IF(Tabell2[[#This Row],[Yrkesaktivandel]]&lt;=J$427,J$427,IF(Tabell2[[#This Row],[Yrkesaktivandel]]&gt;=J$428,J$428,Tabell2[[#This Row],[Yrkesaktivandel]]))</f>
        <v>0.80794701986754969</v>
      </c>
      <c r="T381" s="67">
        <f>IF(Tabell2[[#This Row],[Inntekt]]&lt;=K$427,K$427,IF(Tabell2[[#This Row],[Inntekt]]&gt;=K$428,K$428,Tabell2[[#This Row],[Inntekt]]))</f>
        <v>382800</v>
      </c>
      <c r="U381" s="10">
        <f>IF(Tabell2[[#This Row],[NIBR11-T]]&lt;=L$430,100,IF(Tabell2[[#This Row],[NIBR11-T]]&gt;=L$429,0,100*(L$429-Tabell2[[#This Row],[NIBR11-T]])/L$432))</f>
        <v>0</v>
      </c>
      <c r="V381" s="10">
        <f>(M$429-Tabell2[[#This Row],[ReisetidOslo-T]])*100/M$432</f>
        <v>0</v>
      </c>
      <c r="W381" s="10">
        <f>100-(N$429-Tabell2[[#This Row],[Beftettotal-T]])*100/N$432</f>
        <v>5.8039232960488505</v>
      </c>
      <c r="X381" s="10">
        <f>100-(O$429-Tabell2[[#This Row],[Befvekst10-T]])*100/O$432</f>
        <v>0</v>
      </c>
      <c r="Y381" s="10">
        <f>100-(P$429-Tabell2[[#This Row],[Kvinneandel-T]])*100/P$432</f>
        <v>40.664176728752452</v>
      </c>
      <c r="Z381" s="10">
        <f>(Q$429-Tabell2[[#This Row],[Eldreandel-T]])*100/Q$432</f>
        <v>0</v>
      </c>
      <c r="AA381" s="10">
        <f>100-(R$429-Tabell2[[#This Row],[Sysselsettingsvekst10-T]])*100/R$432</f>
        <v>11.526441178872261</v>
      </c>
      <c r="AB381" s="10">
        <f>100-(S$429-Tabell2[[#This Row],[Yrkesaktivandel-T]])*100/S$432</f>
        <v>8.4559939084305711</v>
      </c>
      <c r="AC381" s="10">
        <f>100-(T$429-Tabell2[[#This Row],[Inntekt-T]])*100/T$432</f>
        <v>26.291236254581804</v>
      </c>
      <c r="AD38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7.2409683002309713</v>
      </c>
    </row>
    <row r="382" spans="1:30" x14ac:dyDescent="0.25">
      <c r="A382" s="2" t="s">
        <v>329</v>
      </c>
      <c r="B382" s="2">
        <v>380</v>
      </c>
      <c r="C382">
        <f>'Rådata-K'!N381</f>
        <v>4</v>
      </c>
      <c r="D382" s="30">
        <f>'Rådata-K'!M381</f>
        <v>216</v>
      </c>
      <c r="E382" s="32">
        <f>'Rådata-K'!O381</f>
        <v>29.564744891483688</v>
      </c>
      <c r="F382" s="32">
        <f>'Rådata-K'!P381</f>
        <v>0.15581777584816714</v>
      </c>
      <c r="G382" s="32">
        <f>'Rådata-K'!Q381</f>
        <v>0.151366362136274</v>
      </c>
      <c r="H382" s="32">
        <f>'Rådata-K'!R381</f>
        <v>0.10972484941173315</v>
      </c>
      <c r="I382" s="32">
        <f>'Rådata-K'!S381</f>
        <v>0.12997881355932206</v>
      </c>
      <c r="J382" s="32">
        <f>'Rådata-K'!T381</f>
        <v>0.85643606224627877</v>
      </c>
      <c r="K382" s="67">
        <f>'Rådata-K'!L381</f>
        <v>434300</v>
      </c>
      <c r="L382" s="18">
        <f>Tabell2[[#This Row],[NIBR11]]</f>
        <v>4</v>
      </c>
      <c r="M382" s="32">
        <f>IF(Tabell2[[#This Row],[ReisetidOslo]]&lt;=D$427,D$427,IF(Tabell2[[#This Row],[ReisetidOslo]]&gt;=D$428,D$428,Tabell2[[#This Row],[ReisetidOslo]]))</f>
        <v>216</v>
      </c>
      <c r="N382" s="32">
        <f>IF(Tabell2[[#This Row],[Beftettotal]]&lt;=E$427,E$427,IF(Tabell2[[#This Row],[Beftettotal]]&gt;=E$428,E$428,Tabell2[[#This Row],[Beftettotal]]))</f>
        <v>29.564744891483688</v>
      </c>
      <c r="O382" s="32">
        <f>IF(Tabell2[[#This Row],[Befvekst10]]&lt;=F$427,F$427,IF(Tabell2[[#This Row],[Befvekst10]]&gt;=F$428,F$428,Tabell2[[#This Row],[Befvekst10]]))</f>
        <v>0.15581777584816714</v>
      </c>
      <c r="P382" s="32">
        <f>IF(Tabell2[[#This Row],[Kvinneandel]]&lt;=G$427,G$427,IF(Tabell2[[#This Row],[Kvinneandel]]&gt;=G$428,G$428,Tabell2[[#This Row],[Kvinneandel]]))</f>
        <v>0.12777681011054584</v>
      </c>
      <c r="Q382" s="32">
        <f>IF(Tabell2[[#This Row],[Eldreandel]]&lt;=H$427,H$427,IF(Tabell2[[#This Row],[Eldreandel]]&gt;=H$428,H$428,Tabell2[[#This Row],[Eldreandel]]))</f>
        <v>0.13032022035982854</v>
      </c>
      <c r="R382" s="32">
        <f>IF(Tabell2[[#This Row],[Sysselsettingsvekst10]]&lt;=I$427,I$427,IF(Tabell2[[#This Row],[Sysselsettingsvekst10]]&gt;=I$428,I$428,Tabell2[[#This Row],[Sysselsettingsvekst10]]))</f>
        <v>0.12997881355932206</v>
      </c>
      <c r="S382" s="32">
        <f>IF(Tabell2[[#This Row],[Yrkesaktivandel]]&lt;=J$427,J$427,IF(Tabell2[[#This Row],[Yrkesaktivandel]]&gt;=J$428,J$428,Tabell2[[#This Row],[Yrkesaktivandel]]))</f>
        <v>0.85643606224627877</v>
      </c>
      <c r="T382" s="67">
        <f>IF(Tabell2[[#This Row],[Inntekt]]&lt;=K$427,K$427,IF(Tabell2[[#This Row],[Inntekt]]&gt;=K$428,K$428,Tabell2[[#This Row],[Inntekt]]))</f>
        <v>434300</v>
      </c>
      <c r="U382" s="10">
        <f>IF(Tabell2[[#This Row],[NIBR11-T]]&lt;=L$430,100,IF(Tabell2[[#This Row],[NIBR11-T]]&gt;=L$429,0,100*(L$429-Tabell2[[#This Row],[NIBR11-T]])/L$432))</f>
        <v>70</v>
      </c>
      <c r="V382" s="10">
        <f>(M$429-Tabell2[[#This Row],[ReisetidOslo-T]])*100/M$432</f>
        <v>30.473343902200963</v>
      </c>
      <c r="W382" s="10">
        <f>100-(N$429-Tabell2[[#This Row],[Beftettotal-T]])*100/N$432</f>
        <v>21.106541769680732</v>
      </c>
      <c r="X382" s="10">
        <f>100-(O$429-Tabell2[[#This Row],[Befvekst10-T]])*100/O$432</f>
        <v>90.611044170155211</v>
      </c>
      <c r="Y382" s="10">
        <f>100-(P$429-Tabell2[[#This Row],[Kvinneandel-T]])*100/P$432</f>
        <v>100</v>
      </c>
      <c r="Z382" s="10">
        <f>(Q$429-Tabell2[[#This Row],[Eldreandel-T]])*100/Q$432</f>
        <v>100</v>
      </c>
      <c r="AA382" s="10">
        <f>100-(R$429-Tabell2[[#This Row],[Sysselsettingsvekst10-T]])*100/R$432</f>
        <v>82.835559384282249</v>
      </c>
      <c r="AB382" s="10">
        <f>100-(S$429-Tabell2[[#This Row],[Yrkesaktivandel-T]])*100/S$432</f>
        <v>46.066221898213875</v>
      </c>
      <c r="AC382" s="10">
        <f>100-(T$429-Tabell2[[#This Row],[Inntekt-T]])*100/T$432</f>
        <v>83.494390758636015</v>
      </c>
      <c r="AD38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68.519814605332428</v>
      </c>
    </row>
    <row r="383" spans="1:30" x14ac:dyDescent="0.25">
      <c r="A383" s="2" t="s">
        <v>330</v>
      </c>
      <c r="B383" s="2">
        <v>381</v>
      </c>
      <c r="C383">
        <f>'Rådata-K'!N382</f>
        <v>5</v>
      </c>
      <c r="D383" s="30">
        <f>'Rådata-K'!M382</f>
        <v>235.3125</v>
      </c>
      <c r="E383" s="32">
        <f>'Rådata-K'!O382</f>
        <v>55.810139946537277</v>
      </c>
      <c r="F383" s="32">
        <f>'Rådata-K'!P382</f>
        <v>4.4609821728893273E-2</v>
      </c>
      <c r="G383" s="32">
        <f>'Rådata-K'!Q382</f>
        <v>0.12155363252163413</v>
      </c>
      <c r="H383" s="32">
        <f>'Rådata-K'!R382</f>
        <v>0.16288991748842827</v>
      </c>
      <c r="I383" s="32">
        <f>'Rådata-K'!S382</f>
        <v>3.3296525949205735E-2</v>
      </c>
      <c r="J383" s="32">
        <f>'Rådata-K'!T382</f>
        <v>0.84115448504983392</v>
      </c>
      <c r="K383" s="67">
        <f>'Rådata-K'!L382</f>
        <v>413300</v>
      </c>
      <c r="L383" s="18">
        <f>Tabell2[[#This Row],[NIBR11]]</f>
        <v>5</v>
      </c>
      <c r="M383" s="32">
        <f>IF(Tabell2[[#This Row],[ReisetidOslo]]&lt;=D$427,D$427,IF(Tabell2[[#This Row],[ReisetidOslo]]&gt;=D$428,D$428,Tabell2[[#This Row],[ReisetidOslo]]))</f>
        <v>235.3125</v>
      </c>
      <c r="N383" s="32">
        <f>IF(Tabell2[[#This Row],[Beftettotal]]&lt;=E$427,E$427,IF(Tabell2[[#This Row],[Beftettotal]]&gt;=E$428,E$428,Tabell2[[#This Row],[Beftettotal]]))</f>
        <v>55.810139946537277</v>
      </c>
      <c r="O383" s="32">
        <f>IF(Tabell2[[#This Row],[Befvekst10]]&lt;=F$427,F$427,IF(Tabell2[[#This Row],[Befvekst10]]&gt;=F$428,F$428,Tabell2[[#This Row],[Befvekst10]]))</f>
        <v>4.4609821728893273E-2</v>
      </c>
      <c r="P383" s="32">
        <f>IF(Tabell2[[#This Row],[Kvinneandel]]&lt;=G$427,G$427,IF(Tabell2[[#This Row],[Kvinneandel]]&gt;=G$428,G$428,Tabell2[[#This Row],[Kvinneandel]]))</f>
        <v>0.12155363252163413</v>
      </c>
      <c r="Q383" s="32">
        <f>IF(Tabell2[[#This Row],[Eldreandel]]&lt;=H$427,H$427,IF(Tabell2[[#This Row],[Eldreandel]]&gt;=H$428,H$428,Tabell2[[#This Row],[Eldreandel]]))</f>
        <v>0.16288991748842827</v>
      </c>
      <c r="R383" s="32">
        <f>IF(Tabell2[[#This Row],[Sysselsettingsvekst10]]&lt;=I$427,I$427,IF(Tabell2[[#This Row],[Sysselsettingsvekst10]]&gt;=I$428,I$428,Tabell2[[#This Row],[Sysselsettingsvekst10]]))</f>
        <v>3.3296525949205735E-2</v>
      </c>
      <c r="S383" s="32">
        <f>IF(Tabell2[[#This Row],[Yrkesaktivandel]]&lt;=J$427,J$427,IF(Tabell2[[#This Row],[Yrkesaktivandel]]&gt;=J$428,J$428,Tabell2[[#This Row],[Yrkesaktivandel]]))</f>
        <v>0.84115448504983392</v>
      </c>
      <c r="T383" s="67">
        <f>IF(Tabell2[[#This Row],[Inntekt]]&lt;=K$427,K$427,IF(Tabell2[[#This Row],[Inntekt]]&gt;=K$428,K$428,Tabell2[[#This Row],[Inntekt]]))</f>
        <v>413300</v>
      </c>
      <c r="U383" s="10">
        <f>IF(Tabell2[[#This Row],[NIBR11-T]]&lt;=L$430,100,IF(Tabell2[[#This Row],[NIBR11-T]]&gt;=L$429,0,100*(L$429-Tabell2[[#This Row],[NIBR11-T]])/L$432))</f>
        <v>60</v>
      </c>
      <c r="V383" s="10">
        <f>(M$429-Tabell2[[#This Row],[ReisetidOslo-T]])*100/M$432</f>
        <v>22.152885065247627</v>
      </c>
      <c r="W383" s="10">
        <f>100-(N$429-Tabell2[[#This Row],[Beftettotal-T]])*100/N$432</f>
        <v>40.667388535972783</v>
      </c>
      <c r="X383" s="10">
        <f>100-(O$429-Tabell2[[#This Row],[Befvekst10-T]])*100/O$432</f>
        <v>42.705459407506105</v>
      </c>
      <c r="Y383" s="10">
        <f>100-(P$429-Tabell2[[#This Row],[Kvinneandel-T]])*100/P$432</f>
        <v>83.562701164948678</v>
      </c>
      <c r="Z383" s="10">
        <f>(Q$429-Tabell2[[#This Row],[Eldreandel-T]])*100/Q$432</f>
        <v>64.869925053156052</v>
      </c>
      <c r="AA383" s="10">
        <f>100-(R$429-Tabell2[[#This Row],[Sysselsettingsvekst10-T]])*100/R$432</f>
        <v>49.011828009575574</v>
      </c>
      <c r="AB383" s="10">
        <f>100-(S$429-Tabell2[[#This Row],[Yrkesaktivandel-T]])*100/S$432</f>
        <v>34.213160377372432</v>
      </c>
      <c r="AC383" s="10">
        <f>100-(T$429-Tabell2[[#This Row],[Inntekt-T]])*100/T$432</f>
        <v>60.168832611351775</v>
      </c>
      <c r="AD38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48.584132652358477</v>
      </c>
    </row>
    <row r="384" spans="1:30" x14ac:dyDescent="0.25">
      <c r="A384" s="2" t="s">
        <v>331</v>
      </c>
      <c r="B384" s="2">
        <v>382</v>
      </c>
      <c r="C384">
        <f>'Rådata-K'!N383</f>
        <v>5</v>
      </c>
      <c r="D384" s="30">
        <f>'Rådata-K'!M383</f>
        <v>248.03125</v>
      </c>
      <c r="E384" s="32">
        <f>'Rådata-K'!O383</f>
        <v>5.8254321276678755</v>
      </c>
      <c r="F384" s="32">
        <f>'Rådata-K'!P383</f>
        <v>-2.0341207349081403E-2</v>
      </c>
      <c r="G384" s="32">
        <f>'Rådata-K'!Q383</f>
        <v>0.11118553248492967</v>
      </c>
      <c r="H384" s="32">
        <f>'Rådata-K'!R383</f>
        <v>0.18988613529805759</v>
      </c>
      <c r="I384" s="32">
        <f>'Rådata-K'!S383</f>
        <v>-0.152876280535855</v>
      </c>
      <c r="J384" s="32">
        <f>'Rådata-K'!T383</f>
        <v>0.82807852468768595</v>
      </c>
      <c r="K384" s="67">
        <f>'Rådata-K'!L383</f>
        <v>350400</v>
      </c>
      <c r="L384" s="18">
        <f>Tabell2[[#This Row],[NIBR11]]</f>
        <v>5</v>
      </c>
      <c r="M384" s="32">
        <f>IF(Tabell2[[#This Row],[ReisetidOslo]]&lt;=D$427,D$427,IF(Tabell2[[#This Row],[ReisetidOslo]]&gt;=D$428,D$428,Tabell2[[#This Row],[ReisetidOslo]]))</f>
        <v>248.03125</v>
      </c>
      <c r="N384" s="32">
        <f>IF(Tabell2[[#This Row],[Beftettotal]]&lt;=E$427,E$427,IF(Tabell2[[#This Row],[Beftettotal]]&gt;=E$428,E$428,Tabell2[[#This Row],[Beftettotal]]))</f>
        <v>5.8254321276678755</v>
      </c>
      <c r="O384" s="32">
        <f>IF(Tabell2[[#This Row],[Befvekst10]]&lt;=F$427,F$427,IF(Tabell2[[#This Row],[Befvekst10]]&gt;=F$428,F$428,Tabell2[[#This Row],[Befvekst10]]))</f>
        <v>-2.0341207349081403E-2</v>
      </c>
      <c r="P384" s="32">
        <f>IF(Tabell2[[#This Row],[Kvinneandel]]&lt;=G$427,G$427,IF(Tabell2[[#This Row],[Kvinneandel]]&gt;=G$428,G$428,Tabell2[[#This Row],[Kvinneandel]]))</f>
        <v>0.11118553248492967</v>
      </c>
      <c r="Q384" s="32">
        <f>IF(Tabell2[[#This Row],[Eldreandel]]&lt;=H$427,H$427,IF(Tabell2[[#This Row],[Eldreandel]]&gt;=H$428,H$428,Tabell2[[#This Row],[Eldreandel]]))</f>
        <v>0.18988613529805759</v>
      </c>
      <c r="R384" s="32">
        <f>IF(Tabell2[[#This Row],[Sysselsettingsvekst10]]&lt;=I$427,I$427,IF(Tabell2[[#This Row],[Sysselsettingsvekst10]]&gt;=I$428,I$428,Tabell2[[#This Row],[Sysselsettingsvekst10]]))</f>
        <v>-0.10679965679965678</v>
      </c>
      <c r="S384" s="32">
        <f>IF(Tabell2[[#This Row],[Yrkesaktivandel]]&lt;=J$427,J$427,IF(Tabell2[[#This Row],[Yrkesaktivandel]]&gt;=J$428,J$428,Tabell2[[#This Row],[Yrkesaktivandel]]))</f>
        <v>0.82807852468768595</v>
      </c>
      <c r="T384" s="67">
        <f>IF(Tabell2[[#This Row],[Inntekt]]&lt;=K$427,K$427,IF(Tabell2[[#This Row],[Inntekt]]&gt;=K$428,K$428,Tabell2[[#This Row],[Inntekt]]))</f>
        <v>359130</v>
      </c>
      <c r="U384" s="10">
        <f>IF(Tabell2[[#This Row],[NIBR11-T]]&lt;=L$430,100,IF(Tabell2[[#This Row],[NIBR11-T]]&gt;=L$429,0,100*(L$429-Tabell2[[#This Row],[NIBR11-T]])/L$432))</f>
        <v>60</v>
      </c>
      <c r="V384" s="10">
        <f>(M$429-Tabell2[[#This Row],[ReisetidOslo-T]])*100/M$432</f>
        <v>16.673230135409426</v>
      </c>
      <c r="W384" s="10">
        <f>100-(N$429-Tabell2[[#This Row],[Beftettotal-T]])*100/N$432</f>
        <v>3.4134928239126907</v>
      </c>
      <c r="X384" s="10">
        <f>100-(O$429-Tabell2[[#This Row],[Befvekst10-T]])*100/O$432</f>
        <v>14.726192514609153</v>
      </c>
      <c r="Y384" s="10">
        <f>100-(P$429-Tabell2[[#This Row],[Kvinneandel-T]])*100/P$432</f>
        <v>56.177405434569074</v>
      </c>
      <c r="Z384" s="10">
        <f>(Q$429-Tabell2[[#This Row],[Eldreandel-T]])*100/Q$432</f>
        <v>35.751473285275722</v>
      </c>
      <c r="AA384" s="10">
        <f>100-(R$429-Tabell2[[#This Row],[Sysselsettingsvekst10-T]])*100/R$432</f>
        <v>0</v>
      </c>
      <c r="AB384" s="10">
        <f>100-(S$429-Tabell2[[#This Row],[Yrkesaktivandel-T]])*100/S$432</f>
        <v>24.070872011176704</v>
      </c>
      <c r="AC384" s="10">
        <f>100-(T$429-Tabell2[[#This Row],[Inntekt-T]])*100/T$432</f>
        <v>0</v>
      </c>
      <c r="AD38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23.957441935963956</v>
      </c>
    </row>
    <row r="385" spans="1:30" x14ac:dyDescent="0.25">
      <c r="A385" s="2" t="s">
        <v>332</v>
      </c>
      <c r="B385" s="2">
        <v>383</v>
      </c>
      <c r="C385">
        <f>'Rådata-K'!N384</f>
        <v>5</v>
      </c>
      <c r="D385" s="30">
        <f>'Rådata-K'!M384</f>
        <v>212.65625</v>
      </c>
      <c r="E385" s="32">
        <f>'Rådata-K'!O384</f>
        <v>6.1575757575757573</v>
      </c>
      <c r="F385" s="32">
        <f>'Rådata-K'!P384</f>
        <v>5.723204994797082E-2</v>
      </c>
      <c r="G385" s="32">
        <f>'Rådata-K'!Q384</f>
        <v>9.6456692913385822E-2</v>
      </c>
      <c r="H385" s="32">
        <f>'Rådata-K'!R384</f>
        <v>0.20570866141732283</v>
      </c>
      <c r="I385" s="32">
        <f>'Rådata-K'!S384</f>
        <v>3.9800995024874553E-3</v>
      </c>
      <c r="J385" s="32">
        <f>'Rådata-K'!T384</f>
        <v>0.83533653846153844</v>
      </c>
      <c r="K385" s="67">
        <f>'Rådata-K'!L384</f>
        <v>380300</v>
      </c>
      <c r="L385" s="18">
        <f>Tabell2[[#This Row],[NIBR11]]</f>
        <v>5</v>
      </c>
      <c r="M385" s="32">
        <f>IF(Tabell2[[#This Row],[ReisetidOslo]]&lt;=D$427,D$427,IF(Tabell2[[#This Row],[ReisetidOslo]]&gt;=D$428,D$428,Tabell2[[#This Row],[ReisetidOslo]]))</f>
        <v>212.65625</v>
      </c>
      <c r="N385" s="32">
        <f>IF(Tabell2[[#This Row],[Beftettotal]]&lt;=E$427,E$427,IF(Tabell2[[#This Row],[Beftettotal]]&gt;=E$428,E$428,Tabell2[[#This Row],[Beftettotal]]))</f>
        <v>6.1575757575757573</v>
      </c>
      <c r="O385" s="32">
        <f>IF(Tabell2[[#This Row],[Befvekst10]]&lt;=F$427,F$427,IF(Tabell2[[#This Row],[Befvekst10]]&gt;=F$428,F$428,Tabell2[[#This Row],[Befvekst10]]))</f>
        <v>5.723204994797082E-2</v>
      </c>
      <c r="P385" s="32">
        <f>IF(Tabell2[[#This Row],[Kvinneandel]]&lt;=G$427,G$427,IF(Tabell2[[#This Row],[Kvinneandel]]&gt;=G$428,G$428,Tabell2[[#This Row],[Kvinneandel]]))</f>
        <v>9.6456692913385822E-2</v>
      </c>
      <c r="Q385" s="32">
        <f>IF(Tabell2[[#This Row],[Eldreandel]]&lt;=H$427,H$427,IF(Tabell2[[#This Row],[Eldreandel]]&gt;=H$428,H$428,Tabell2[[#This Row],[Eldreandel]]))</f>
        <v>0.20570866141732283</v>
      </c>
      <c r="R385" s="32">
        <f>IF(Tabell2[[#This Row],[Sysselsettingsvekst10]]&lt;=I$427,I$427,IF(Tabell2[[#This Row],[Sysselsettingsvekst10]]&gt;=I$428,I$428,Tabell2[[#This Row],[Sysselsettingsvekst10]]))</f>
        <v>3.9800995024874553E-3</v>
      </c>
      <c r="S385" s="32">
        <f>IF(Tabell2[[#This Row],[Yrkesaktivandel]]&lt;=J$427,J$427,IF(Tabell2[[#This Row],[Yrkesaktivandel]]&gt;=J$428,J$428,Tabell2[[#This Row],[Yrkesaktivandel]]))</f>
        <v>0.83533653846153844</v>
      </c>
      <c r="T385" s="67">
        <f>IF(Tabell2[[#This Row],[Inntekt]]&lt;=K$427,K$427,IF(Tabell2[[#This Row],[Inntekt]]&gt;=K$428,K$428,Tabell2[[#This Row],[Inntekt]]))</f>
        <v>380300</v>
      </c>
      <c r="U385" s="10">
        <f>IF(Tabell2[[#This Row],[NIBR11-T]]&lt;=L$430,100,IF(Tabell2[[#This Row],[NIBR11-T]]&gt;=L$429,0,100*(L$429-Tabell2[[#This Row],[NIBR11-T]])/L$432))</f>
        <v>60</v>
      </c>
      <c r="V385" s="10">
        <f>(M$429-Tabell2[[#This Row],[ReisetidOslo-T]])*100/M$432</f>
        <v>31.913941144197739</v>
      </c>
      <c r="W385" s="10">
        <f>100-(N$429-Tabell2[[#This Row],[Beftettotal-T]])*100/N$432</f>
        <v>3.6610414180717612</v>
      </c>
      <c r="X385" s="10">
        <f>100-(O$429-Tabell2[[#This Row],[Befvekst10-T]])*100/O$432</f>
        <v>48.142797308660086</v>
      </c>
      <c r="Y385" s="10">
        <f>100-(P$429-Tabell2[[#This Row],[Kvinneandel-T]])*100/P$432</f>
        <v>17.274074447780762</v>
      </c>
      <c r="Z385" s="10">
        <f>(Q$429-Tabell2[[#This Row],[Eldreandel-T]])*100/Q$432</f>
        <v>18.685102473675812</v>
      </c>
      <c r="AA385" s="10">
        <f>100-(R$429-Tabell2[[#This Row],[Sysselsettingsvekst10-T]])*100/R$432</f>
        <v>38.755648128945701</v>
      </c>
      <c r="AB385" s="10">
        <f>100-(S$429-Tabell2[[#This Row],[Yrkesaktivandel-T]])*100/S$432</f>
        <v>29.700505829379878</v>
      </c>
      <c r="AC385" s="10">
        <f>100-(T$429-Tabell2[[#This Row],[Inntekt-T]])*100/T$432</f>
        <v>23.514384094190831</v>
      </c>
      <c r="AD38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36.181070369283432</v>
      </c>
    </row>
    <row r="386" spans="1:30" x14ac:dyDescent="0.25">
      <c r="A386" s="2" t="s">
        <v>333</v>
      </c>
      <c r="B386" s="2">
        <v>384</v>
      </c>
      <c r="C386">
        <f>'Rådata-K'!N385</f>
        <v>11</v>
      </c>
      <c r="D386" s="30">
        <f>'Rådata-K'!M385</f>
        <v>293.625</v>
      </c>
      <c r="E386" s="32">
        <f>'Rådata-K'!O385</f>
        <v>5.7827926657263751</v>
      </c>
      <c r="F386" s="32">
        <f>'Rådata-K'!P385</f>
        <v>-0.11435832274459978</v>
      </c>
      <c r="G386" s="32">
        <f>'Rådata-K'!Q385</f>
        <v>8.1061692969870869E-2</v>
      </c>
      <c r="H386" s="32">
        <f>'Rådata-K'!R385</f>
        <v>0.27546628407460544</v>
      </c>
      <c r="I386" s="32">
        <f>'Rådata-K'!S385</f>
        <v>-4.7619047619047672E-2</v>
      </c>
      <c r="J386" s="32">
        <f>'Rådata-K'!T385</f>
        <v>0.87157287157287155</v>
      </c>
      <c r="K386" s="67">
        <f>'Rådata-K'!L385</f>
        <v>362300</v>
      </c>
      <c r="L386" s="18">
        <f>Tabell2[[#This Row],[NIBR11]]</f>
        <v>11</v>
      </c>
      <c r="M386" s="32">
        <f>IF(Tabell2[[#This Row],[ReisetidOslo]]&lt;=D$427,D$427,IF(Tabell2[[#This Row],[ReisetidOslo]]&gt;=D$428,D$428,Tabell2[[#This Row],[ReisetidOslo]]))</f>
        <v>286.73125000000005</v>
      </c>
      <c r="N386" s="32">
        <f>IF(Tabell2[[#This Row],[Beftettotal]]&lt;=E$427,E$427,IF(Tabell2[[#This Row],[Beftettotal]]&gt;=E$428,E$428,Tabell2[[#This Row],[Beftettotal]]))</f>
        <v>5.7827926657263751</v>
      </c>
      <c r="O386" s="32">
        <f>IF(Tabell2[[#This Row],[Befvekst10]]&lt;=F$427,F$427,IF(Tabell2[[#This Row],[Befvekst10]]&gt;=F$428,F$428,Tabell2[[#This Row],[Befvekst10]]))</f>
        <v>-5.4526569027269343E-2</v>
      </c>
      <c r="P386" s="32">
        <f>IF(Tabell2[[#This Row],[Kvinneandel]]&lt;=G$427,G$427,IF(Tabell2[[#This Row],[Kvinneandel]]&gt;=G$428,G$428,Tabell2[[#This Row],[Kvinneandel]]))</f>
        <v>8.9916711250255951E-2</v>
      </c>
      <c r="Q386" s="32">
        <f>IF(Tabell2[[#This Row],[Eldreandel]]&lt;=H$427,H$427,IF(Tabell2[[#This Row],[Eldreandel]]&gt;=H$428,H$428,Tabell2[[#This Row],[Eldreandel]]))</f>
        <v>0.22303194152148736</v>
      </c>
      <c r="R386" s="32">
        <f>IF(Tabell2[[#This Row],[Sysselsettingsvekst10]]&lt;=I$427,I$427,IF(Tabell2[[#This Row],[Sysselsettingsvekst10]]&gt;=I$428,I$428,Tabell2[[#This Row],[Sysselsettingsvekst10]]))</f>
        <v>-4.7619047619047672E-2</v>
      </c>
      <c r="S386" s="32">
        <f>IF(Tabell2[[#This Row],[Yrkesaktivandel]]&lt;=J$427,J$427,IF(Tabell2[[#This Row],[Yrkesaktivandel]]&gt;=J$428,J$428,Tabell2[[#This Row],[Yrkesaktivandel]]))</f>
        <v>0.87157287157287155</v>
      </c>
      <c r="T386" s="67">
        <f>IF(Tabell2[[#This Row],[Inntekt]]&lt;=K$427,K$427,IF(Tabell2[[#This Row],[Inntekt]]&gt;=K$428,K$428,Tabell2[[#This Row],[Inntekt]]))</f>
        <v>362300</v>
      </c>
      <c r="U386" s="10">
        <f>IF(Tabell2[[#This Row],[NIBR11-T]]&lt;=L$430,100,IF(Tabell2[[#This Row],[NIBR11-T]]&gt;=L$429,0,100*(L$429-Tabell2[[#This Row],[NIBR11-T]])/L$432))</f>
        <v>0</v>
      </c>
      <c r="V386" s="10">
        <f>(M$429-Tabell2[[#This Row],[ReisetidOslo-T]])*100/M$432</f>
        <v>0</v>
      </c>
      <c r="W386" s="10">
        <f>100-(N$429-Tabell2[[#This Row],[Beftettotal-T]])*100/N$432</f>
        <v>3.3817133830056036</v>
      </c>
      <c r="X386" s="10">
        <f>100-(O$429-Tabell2[[#This Row],[Befvekst10-T]])*100/O$432</f>
        <v>0</v>
      </c>
      <c r="Y386" s="10">
        <f>100-(P$429-Tabell2[[#This Row],[Kvinneandel-T]])*100/P$432</f>
        <v>0</v>
      </c>
      <c r="Z386" s="10">
        <f>(Q$429-Tabell2[[#This Row],[Eldreandel-T]])*100/Q$432</f>
        <v>0</v>
      </c>
      <c r="AA386" s="10">
        <f>100-(R$429-Tabell2[[#This Row],[Sysselsettingsvekst10-T]])*100/R$432</f>
        <v>20.70398908627989</v>
      </c>
      <c r="AB386" s="10">
        <f>100-(S$429-Tabell2[[#This Row],[Yrkesaktivandel-T]])*100/S$432</f>
        <v>57.806995109704843</v>
      </c>
      <c r="AC386" s="10">
        <f>100-(T$429-Tabell2[[#This Row],[Inntekt-T]])*100/T$432</f>
        <v>3.5210485393757693</v>
      </c>
      <c r="AD38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8.541374611836611</v>
      </c>
    </row>
    <row r="387" spans="1:30" x14ac:dyDescent="0.25">
      <c r="A387" s="2" t="s">
        <v>334</v>
      </c>
      <c r="B387" s="2">
        <v>385</v>
      </c>
      <c r="C387">
        <f>'Rådata-K'!N386</f>
        <v>5</v>
      </c>
      <c r="D387" s="30">
        <f>'Rådata-K'!M386</f>
        <v>252.125</v>
      </c>
      <c r="E387" s="32">
        <f>'Rådata-K'!O386</f>
        <v>3.5844471445929531</v>
      </c>
      <c r="F387" s="32">
        <f>'Rådata-K'!P386</f>
        <v>-8.564437194127239E-2</v>
      </c>
      <c r="G387" s="32">
        <f>'Rådata-K'!Q386</f>
        <v>8.8314005352363958E-2</v>
      </c>
      <c r="H387" s="32">
        <f>'Rådata-K'!R386</f>
        <v>0.22658340767172166</v>
      </c>
      <c r="I387" s="32">
        <f>'Rådata-K'!S386</f>
        <v>0.18115942028985499</v>
      </c>
      <c r="J387" s="32">
        <f>'Rådata-K'!T386</f>
        <v>0.8164983164983165</v>
      </c>
      <c r="K387" s="67">
        <f>'Rådata-K'!L386</f>
        <v>355500</v>
      </c>
      <c r="L387" s="18">
        <f>Tabell2[[#This Row],[NIBR11]]</f>
        <v>5</v>
      </c>
      <c r="M387" s="32">
        <f>IF(Tabell2[[#This Row],[ReisetidOslo]]&lt;=D$427,D$427,IF(Tabell2[[#This Row],[ReisetidOslo]]&gt;=D$428,D$428,Tabell2[[#This Row],[ReisetidOslo]]))</f>
        <v>252.125</v>
      </c>
      <c r="N387" s="32">
        <f>IF(Tabell2[[#This Row],[Beftettotal]]&lt;=E$427,E$427,IF(Tabell2[[#This Row],[Beftettotal]]&gt;=E$428,E$428,Tabell2[[#This Row],[Beftettotal]]))</f>
        <v>3.5844471445929531</v>
      </c>
      <c r="O387" s="32">
        <f>IF(Tabell2[[#This Row],[Befvekst10]]&lt;=F$427,F$427,IF(Tabell2[[#This Row],[Befvekst10]]&gt;=F$428,F$428,Tabell2[[#This Row],[Befvekst10]]))</f>
        <v>-5.4526569027269343E-2</v>
      </c>
      <c r="P387" s="32">
        <f>IF(Tabell2[[#This Row],[Kvinneandel]]&lt;=G$427,G$427,IF(Tabell2[[#This Row],[Kvinneandel]]&gt;=G$428,G$428,Tabell2[[#This Row],[Kvinneandel]]))</f>
        <v>8.9916711250255951E-2</v>
      </c>
      <c r="Q387" s="32">
        <f>IF(Tabell2[[#This Row],[Eldreandel]]&lt;=H$427,H$427,IF(Tabell2[[#This Row],[Eldreandel]]&gt;=H$428,H$428,Tabell2[[#This Row],[Eldreandel]]))</f>
        <v>0.22303194152148736</v>
      </c>
      <c r="R387" s="32">
        <f>IF(Tabell2[[#This Row],[Sysselsettingsvekst10]]&lt;=I$427,I$427,IF(Tabell2[[#This Row],[Sysselsettingsvekst10]]&gt;=I$428,I$428,Tabell2[[#This Row],[Sysselsettingsvekst10]]))</f>
        <v>0.17904192152607218</v>
      </c>
      <c r="S387" s="32">
        <f>IF(Tabell2[[#This Row],[Yrkesaktivandel]]&lt;=J$427,J$427,IF(Tabell2[[#This Row],[Yrkesaktivandel]]&gt;=J$428,J$428,Tabell2[[#This Row],[Yrkesaktivandel]]))</f>
        <v>0.8164983164983165</v>
      </c>
      <c r="T387" s="67">
        <f>IF(Tabell2[[#This Row],[Inntekt]]&lt;=K$427,K$427,IF(Tabell2[[#This Row],[Inntekt]]&gt;=K$428,K$428,Tabell2[[#This Row],[Inntekt]]))</f>
        <v>359130</v>
      </c>
      <c r="U387" s="10">
        <f>IF(Tabell2[[#This Row],[NIBR11-T]]&lt;=L$430,100,IF(Tabell2[[#This Row],[NIBR11-T]]&gt;=L$429,0,100*(L$429-Tabell2[[#This Row],[NIBR11-T]])/L$432))</f>
        <v>60</v>
      </c>
      <c r="V387" s="10">
        <f>(M$429-Tabell2[[#This Row],[ReisetidOslo-T]])*100/M$432</f>
        <v>14.909508278385337</v>
      </c>
      <c r="W387" s="10">
        <f>100-(N$429-Tabell2[[#This Row],[Beftettotal-T]])*100/N$432</f>
        <v>1.7432735809735505</v>
      </c>
      <c r="X387" s="10">
        <f>100-(O$429-Tabell2[[#This Row],[Befvekst10-T]])*100/O$432</f>
        <v>0</v>
      </c>
      <c r="Y387" s="10">
        <f>100-(P$429-Tabell2[[#This Row],[Kvinneandel-T]])*100/P$432</f>
        <v>0</v>
      </c>
      <c r="Z387" s="10">
        <f>(Q$429-Tabell2[[#This Row],[Eldreandel-T]])*100/Q$432</f>
        <v>0</v>
      </c>
      <c r="AA387" s="10">
        <f>100-(R$429-Tabell2[[#This Row],[Sysselsettingsvekst10-T]])*100/R$432</f>
        <v>100</v>
      </c>
      <c r="AB387" s="10">
        <f>100-(S$429-Tabell2[[#This Row],[Yrkesaktivandel-T]])*100/S$432</f>
        <v>15.088754633614343</v>
      </c>
      <c r="AC387" s="10">
        <f>100-(T$429-Tabell2[[#This Row],[Inntekt-T]])*100/T$432</f>
        <v>0</v>
      </c>
      <c r="AD38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25.174153649297324</v>
      </c>
    </row>
    <row r="388" spans="1:30" x14ac:dyDescent="0.25">
      <c r="A388" s="2" t="s">
        <v>335</v>
      </c>
      <c r="B388" s="2">
        <v>386</v>
      </c>
      <c r="C388">
        <f>'Rådata-K'!N387</f>
        <v>11</v>
      </c>
      <c r="D388" s="30">
        <f>'Rådata-K'!M387</f>
        <v>263.0625</v>
      </c>
      <c r="E388" s="32">
        <f>'Rådata-K'!O387</f>
        <v>3.5671661583344387</v>
      </c>
      <c r="F388" s="32">
        <f>'Rådata-K'!P387</f>
        <v>6.429277942631062E-2</v>
      </c>
      <c r="G388" s="32">
        <f>'Rådata-K'!Q387</f>
        <v>8.9219330855018583E-2</v>
      </c>
      <c r="H388" s="32">
        <f>'Rådata-K'!R387</f>
        <v>0.21933085501858737</v>
      </c>
      <c r="I388" s="32">
        <f>'Rådata-K'!S387</f>
        <v>3.7249283667621702E-2</v>
      </c>
      <c r="J388" s="32">
        <f>'Rådata-K'!T387</f>
        <v>0.78937728937728935</v>
      </c>
      <c r="K388" s="67">
        <f>'Rådata-K'!L387</f>
        <v>350000</v>
      </c>
      <c r="L388" s="18">
        <f>Tabell2[[#This Row],[NIBR11]]</f>
        <v>11</v>
      </c>
      <c r="M388" s="32">
        <f>IF(Tabell2[[#This Row],[ReisetidOslo]]&lt;=D$427,D$427,IF(Tabell2[[#This Row],[ReisetidOslo]]&gt;=D$428,D$428,Tabell2[[#This Row],[ReisetidOslo]]))</f>
        <v>263.0625</v>
      </c>
      <c r="N388" s="32">
        <f>IF(Tabell2[[#This Row],[Beftettotal]]&lt;=E$427,E$427,IF(Tabell2[[#This Row],[Beftettotal]]&gt;=E$428,E$428,Tabell2[[#This Row],[Beftettotal]]))</f>
        <v>3.5671661583344387</v>
      </c>
      <c r="O388" s="32">
        <f>IF(Tabell2[[#This Row],[Befvekst10]]&lt;=F$427,F$427,IF(Tabell2[[#This Row],[Befvekst10]]&gt;=F$428,F$428,Tabell2[[#This Row],[Befvekst10]]))</f>
        <v>6.429277942631062E-2</v>
      </c>
      <c r="P388" s="32">
        <f>IF(Tabell2[[#This Row],[Kvinneandel]]&lt;=G$427,G$427,IF(Tabell2[[#This Row],[Kvinneandel]]&gt;=G$428,G$428,Tabell2[[#This Row],[Kvinneandel]]))</f>
        <v>8.9916711250255951E-2</v>
      </c>
      <c r="Q388" s="32">
        <f>IF(Tabell2[[#This Row],[Eldreandel]]&lt;=H$427,H$427,IF(Tabell2[[#This Row],[Eldreandel]]&gt;=H$428,H$428,Tabell2[[#This Row],[Eldreandel]]))</f>
        <v>0.21933085501858737</v>
      </c>
      <c r="R388" s="32">
        <f>IF(Tabell2[[#This Row],[Sysselsettingsvekst10]]&lt;=I$427,I$427,IF(Tabell2[[#This Row],[Sysselsettingsvekst10]]&gt;=I$428,I$428,Tabell2[[#This Row],[Sysselsettingsvekst10]]))</f>
        <v>3.7249283667621702E-2</v>
      </c>
      <c r="S388" s="32">
        <f>IF(Tabell2[[#This Row],[Yrkesaktivandel]]&lt;=J$427,J$427,IF(Tabell2[[#This Row],[Yrkesaktivandel]]&gt;=J$428,J$428,Tabell2[[#This Row],[Yrkesaktivandel]]))</f>
        <v>0.7970451171433347</v>
      </c>
      <c r="T388" s="67">
        <f>IF(Tabell2[[#This Row],[Inntekt]]&lt;=K$427,K$427,IF(Tabell2[[#This Row],[Inntekt]]&gt;=K$428,K$428,Tabell2[[#This Row],[Inntekt]]))</f>
        <v>359130</v>
      </c>
      <c r="U388" s="10">
        <f>IF(Tabell2[[#This Row],[NIBR11-T]]&lt;=L$430,100,IF(Tabell2[[#This Row],[NIBR11-T]]&gt;=L$429,0,100*(L$429-Tabell2[[#This Row],[NIBR11-T]])/L$432))</f>
        <v>0</v>
      </c>
      <c r="V388" s="10">
        <f>(M$429-Tabell2[[#This Row],[ReisetidOslo-T]])*100/M$432</f>
        <v>10.197274309237006</v>
      </c>
      <c r="W388" s="10">
        <f>100-(N$429-Tabell2[[#This Row],[Beftettotal-T]])*100/N$432</f>
        <v>1.730393960626273</v>
      </c>
      <c r="X388" s="10">
        <f>100-(O$429-Tabell2[[#This Row],[Befvekst10-T]])*100/O$432</f>
        <v>51.184381673641397</v>
      </c>
      <c r="Y388" s="10">
        <f>100-(P$429-Tabell2[[#This Row],[Kvinneandel-T]])*100/P$432</f>
        <v>0</v>
      </c>
      <c r="Z388" s="10">
        <f>(Q$429-Tabell2[[#This Row],[Eldreandel-T]])*100/Q$432</f>
        <v>3.9920373136493832</v>
      </c>
      <c r="AA388" s="10">
        <f>100-(R$429-Tabell2[[#This Row],[Sysselsettingsvekst10-T]])*100/R$432</f>
        <v>50.394677118361145</v>
      </c>
      <c r="AB388" s="10">
        <f>100-(S$429-Tabell2[[#This Row],[Yrkesaktivandel-T]])*100/S$432</f>
        <v>0</v>
      </c>
      <c r="AC388" s="10">
        <f>100-(T$429-Tabell2[[#This Row],[Inntekt-T]])*100/T$432</f>
        <v>0</v>
      </c>
      <c r="AD38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16.66871273923319</v>
      </c>
    </row>
    <row r="389" spans="1:30" x14ac:dyDescent="0.25">
      <c r="A389" s="2" t="s">
        <v>336</v>
      </c>
      <c r="B389" s="2">
        <v>387</v>
      </c>
      <c r="C389">
        <f>'Rådata-K'!N388</f>
        <v>9</v>
      </c>
      <c r="D389" s="30">
        <f>'Rådata-K'!M388</f>
        <v>234.6875</v>
      </c>
      <c r="E389" s="32">
        <f>'Rådata-K'!O388</f>
        <v>1.4771365593147625</v>
      </c>
      <c r="F389" s="32">
        <f>'Rådata-K'!P388</f>
        <v>1.8877551020408223E-2</v>
      </c>
      <c r="G389" s="32">
        <f>'Rådata-K'!Q388</f>
        <v>0.12393590385578368</v>
      </c>
      <c r="H389" s="32">
        <f>'Rådata-K'!R388</f>
        <v>0.16900350525788682</v>
      </c>
      <c r="I389" s="32">
        <f>'Rådata-K'!S388</f>
        <v>5.2048726467331052E-2</v>
      </c>
      <c r="J389" s="32">
        <f>'Rådata-K'!T388</f>
        <v>0.91155002146844144</v>
      </c>
      <c r="K389" s="67">
        <f>'Rådata-K'!L388</f>
        <v>404700</v>
      </c>
      <c r="L389" s="18">
        <f>Tabell2[[#This Row],[NIBR11]]</f>
        <v>9</v>
      </c>
      <c r="M389" s="32">
        <f>IF(Tabell2[[#This Row],[ReisetidOslo]]&lt;=D$427,D$427,IF(Tabell2[[#This Row],[ReisetidOslo]]&gt;=D$428,D$428,Tabell2[[#This Row],[ReisetidOslo]]))</f>
        <v>234.6875</v>
      </c>
      <c r="N389" s="32">
        <f>IF(Tabell2[[#This Row],[Beftettotal]]&lt;=E$427,E$427,IF(Tabell2[[#This Row],[Beftettotal]]&gt;=E$428,E$428,Tabell2[[#This Row],[Beftettotal]]))</f>
        <v>1.4771365593147625</v>
      </c>
      <c r="O389" s="32">
        <f>IF(Tabell2[[#This Row],[Befvekst10]]&lt;=F$427,F$427,IF(Tabell2[[#This Row],[Befvekst10]]&gt;=F$428,F$428,Tabell2[[#This Row],[Befvekst10]]))</f>
        <v>1.8877551020408223E-2</v>
      </c>
      <c r="P389" s="32">
        <f>IF(Tabell2[[#This Row],[Kvinneandel]]&lt;=G$427,G$427,IF(Tabell2[[#This Row],[Kvinneandel]]&gt;=G$428,G$428,Tabell2[[#This Row],[Kvinneandel]]))</f>
        <v>0.12393590385578368</v>
      </c>
      <c r="Q389" s="32">
        <f>IF(Tabell2[[#This Row],[Eldreandel]]&lt;=H$427,H$427,IF(Tabell2[[#This Row],[Eldreandel]]&gt;=H$428,H$428,Tabell2[[#This Row],[Eldreandel]]))</f>
        <v>0.16900350525788682</v>
      </c>
      <c r="R389" s="32">
        <f>IF(Tabell2[[#This Row],[Sysselsettingsvekst10]]&lt;=I$427,I$427,IF(Tabell2[[#This Row],[Sysselsettingsvekst10]]&gt;=I$428,I$428,Tabell2[[#This Row],[Sysselsettingsvekst10]]))</f>
        <v>5.2048726467331052E-2</v>
      </c>
      <c r="S389" s="32">
        <f>IF(Tabell2[[#This Row],[Yrkesaktivandel]]&lt;=J$427,J$427,IF(Tabell2[[#This Row],[Yrkesaktivandel]]&gt;=J$428,J$428,Tabell2[[#This Row],[Yrkesaktivandel]]))</f>
        <v>0.91155002146844144</v>
      </c>
      <c r="T389" s="67">
        <f>IF(Tabell2[[#This Row],[Inntekt]]&lt;=K$427,K$427,IF(Tabell2[[#This Row],[Inntekt]]&gt;=K$428,K$428,Tabell2[[#This Row],[Inntekt]]))</f>
        <v>404700</v>
      </c>
      <c r="U389" s="10">
        <f>IF(Tabell2[[#This Row],[NIBR11-T]]&lt;=L$430,100,IF(Tabell2[[#This Row],[NIBR11-T]]&gt;=L$429,0,100*(L$429-Tabell2[[#This Row],[NIBR11-T]])/L$432))</f>
        <v>20</v>
      </c>
      <c r="V389" s="10">
        <f>(M$429-Tabell2[[#This Row],[ReisetidOslo-T]])*100/M$432</f>
        <v>22.42215557777039</v>
      </c>
      <c r="W389" s="10">
        <f>100-(N$429-Tabell2[[#This Row],[Beftettotal-T]])*100/N$432</f>
        <v>0.17268265021617424</v>
      </c>
      <c r="X389" s="10">
        <f>100-(O$429-Tabell2[[#This Row],[Befvekst10-T]])*100/O$432</f>
        <v>31.620645507965833</v>
      </c>
      <c r="Y389" s="10">
        <f>100-(P$429-Tabell2[[#This Row],[Kvinneandel-T]])*100/P$432</f>
        <v>89.855002045991085</v>
      </c>
      <c r="Z389" s="10">
        <f>(Q$429-Tabell2[[#This Row],[Eldreandel-T]])*100/Q$432</f>
        <v>58.275734272468824</v>
      </c>
      <c r="AA389" s="10">
        <f>100-(R$429-Tabell2[[#This Row],[Sysselsettingsvekst10-T]])*100/R$432</f>
        <v>55.572175397790858</v>
      </c>
      <c r="AB389" s="10">
        <f>100-(S$429-Tabell2[[#This Row],[Yrkesaktivandel-T]])*100/S$432</f>
        <v>88.815025959447794</v>
      </c>
      <c r="AC389" s="10">
        <f>100-(T$429-Tabell2[[#This Row],[Inntekt-T]])*100/T$432</f>
        <v>50.616461179606794</v>
      </c>
      <c r="AD38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39.49051599399936</v>
      </c>
    </row>
    <row r="390" spans="1:30" x14ac:dyDescent="0.25">
      <c r="A390" s="2" t="s">
        <v>337</v>
      </c>
      <c r="B390" s="2">
        <v>388</v>
      </c>
      <c r="C390">
        <f>'Rådata-K'!N389</f>
        <v>11</v>
      </c>
      <c r="D390" s="30">
        <f>'Rådata-K'!M389</f>
        <v>258.4375</v>
      </c>
      <c r="E390" s="32">
        <f>'Rådata-K'!O389</f>
        <v>4.8475849419163239</v>
      </c>
      <c r="F390" s="32">
        <f>'Rådata-K'!P389</f>
        <v>-5.3763440860215006E-3</v>
      </c>
      <c r="G390" s="32">
        <f>'Rådata-K'!Q389</f>
        <v>8.9189189189189194E-2</v>
      </c>
      <c r="H390" s="32">
        <f>'Rådata-K'!R389</f>
        <v>0.19144144144144143</v>
      </c>
      <c r="I390" s="32">
        <f>'Rådata-K'!S389</f>
        <v>6.0000000000000053E-2</v>
      </c>
      <c r="J390" s="32">
        <f>'Rådata-K'!T389</f>
        <v>0.85525227460711328</v>
      </c>
      <c r="K390" s="67">
        <f>'Rådata-K'!L389</f>
        <v>341800</v>
      </c>
      <c r="L390" s="18">
        <f>Tabell2[[#This Row],[NIBR11]]</f>
        <v>11</v>
      </c>
      <c r="M390" s="32">
        <f>IF(Tabell2[[#This Row],[ReisetidOslo]]&lt;=D$427,D$427,IF(Tabell2[[#This Row],[ReisetidOslo]]&gt;=D$428,D$428,Tabell2[[#This Row],[ReisetidOslo]]))</f>
        <v>258.4375</v>
      </c>
      <c r="N390" s="32">
        <f>IF(Tabell2[[#This Row],[Beftettotal]]&lt;=E$427,E$427,IF(Tabell2[[#This Row],[Beftettotal]]&gt;=E$428,E$428,Tabell2[[#This Row],[Beftettotal]]))</f>
        <v>4.8475849419163239</v>
      </c>
      <c r="O390" s="32">
        <f>IF(Tabell2[[#This Row],[Befvekst10]]&lt;=F$427,F$427,IF(Tabell2[[#This Row],[Befvekst10]]&gt;=F$428,F$428,Tabell2[[#This Row],[Befvekst10]]))</f>
        <v>-5.3763440860215006E-3</v>
      </c>
      <c r="P390" s="32">
        <f>IF(Tabell2[[#This Row],[Kvinneandel]]&lt;=G$427,G$427,IF(Tabell2[[#This Row],[Kvinneandel]]&gt;=G$428,G$428,Tabell2[[#This Row],[Kvinneandel]]))</f>
        <v>8.9916711250255951E-2</v>
      </c>
      <c r="Q390" s="32">
        <f>IF(Tabell2[[#This Row],[Eldreandel]]&lt;=H$427,H$427,IF(Tabell2[[#This Row],[Eldreandel]]&gt;=H$428,H$428,Tabell2[[#This Row],[Eldreandel]]))</f>
        <v>0.19144144144144143</v>
      </c>
      <c r="R390" s="32">
        <f>IF(Tabell2[[#This Row],[Sysselsettingsvekst10]]&lt;=I$427,I$427,IF(Tabell2[[#This Row],[Sysselsettingsvekst10]]&gt;=I$428,I$428,Tabell2[[#This Row],[Sysselsettingsvekst10]]))</f>
        <v>6.0000000000000053E-2</v>
      </c>
      <c r="S390" s="32">
        <f>IF(Tabell2[[#This Row],[Yrkesaktivandel]]&lt;=J$427,J$427,IF(Tabell2[[#This Row],[Yrkesaktivandel]]&gt;=J$428,J$428,Tabell2[[#This Row],[Yrkesaktivandel]]))</f>
        <v>0.85525227460711328</v>
      </c>
      <c r="T390" s="67">
        <f>IF(Tabell2[[#This Row],[Inntekt]]&lt;=K$427,K$427,IF(Tabell2[[#This Row],[Inntekt]]&gt;=K$428,K$428,Tabell2[[#This Row],[Inntekt]]))</f>
        <v>359130</v>
      </c>
      <c r="U390" s="10">
        <f>IF(Tabell2[[#This Row],[NIBR11-T]]&lt;=L$430,100,IF(Tabell2[[#This Row],[NIBR11-T]]&gt;=L$429,0,100*(L$429-Tabell2[[#This Row],[NIBR11-T]])/L$432))</f>
        <v>0</v>
      </c>
      <c r="V390" s="10">
        <f>(M$429-Tabell2[[#This Row],[ReisetidOslo-T]])*100/M$432</f>
        <v>12.189876101905442</v>
      </c>
      <c r="W390" s="10">
        <f>100-(N$429-Tabell2[[#This Row],[Beftettotal-T]])*100/N$432</f>
        <v>2.6846975849302623</v>
      </c>
      <c r="X390" s="10">
        <f>100-(O$429-Tabell2[[#This Row],[Befvekst10-T]])*100/O$432</f>
        <v>21.172678570283495</v>
      </c>
      <c r="Y390" s="10">
        <f>100-(P$429-Tabell2[[#This Row],[Kvinneandel-T]])*100/P$432</f>
        <v>0</v>
      </c>
      <c r="Z390" s="10">
        <f>(Q$429-Tabell2[[#This Row],[Eldreandel-T]])*100/Q$432</f>
        <v>34.073900995713871</v>
      </c>
      <c r="AA390" s="10">
        <f>100-(R$429-Tabell2[[#This Row],[Sysselsettingsvekst10-T]])*100/R$432</f>
        <v>58.353881816864778</v>
      </c>
      <c r="AB390" s="10">
        <f>100-(S$429-Tabell2[[#This Row],[Yrkesaktivandel-T]])*100/S$432</f>
        <v>45.148024284560186</v>
      </c>
      <c r="AC390" s="10">
        <f>100-(T$429-Tabell2[[#This Row],[Inntekt-T]])*100/T$432</f>
        <v>0</v>
      </c>
      <c r="AD39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17.775878742668461</v>
      </c>
    </row>
    <row r="391" spans="1:30" x14ac:dyDescent="0.25">
      <c r="A391" s="2" t="s">
        <v>338</v>
      </c>
      <c r="B391" s="2">
        <v>389</v>
      </c>
      <c r="C391">
        <f>'Rådata-K'!N390</f>
        <v>9</v>
      </c>
      <c r="D391" s="30">
        <f>'Rådata-K'!M390</f>
        <v>221.90625</v>
      </c>
      <c r="E391" s="32">
        <f>'Rådata-K'!O390</f>
        <v>2.0386566091738043</v>
      </c>
      <c r="F391" s="32">
        <f>'Rådata-K'!P390</f>
        <v>2.8983308042488609E-2</v>
      </c>
      <c r="G391" s="32">
        <f>'Rådata-K'!Q390</f>
        <v>0.11650199085680578</v>
      </c>
      <c r="H391" s="32">
        <f>'Rådata-K'!R390</f>
        <v>0.16384014157203952</v>
      </c>
      <c r="I391" s="32">
        <f>'Rådata-K'!S390</f>
        <v>1.7180256340332711E-2</v>
      </c>
      <c r="J391" s="32">
        <f>'Rådata-K'!T390</f>
        <v>0.90746877389752745</v>
      </c>
      <c r="K391" s="67">
        <f>'Rådata-K'!L390</f>
        <v>428200</v>
      </c>
      <c r="L391" s="18">
        <f>Tabell2[[#This Row],[NIBR11]]</f>
        <v>9</v>
      </c>
      <c r="M391" s="32">
        <f>IF(Tabell2[[#This Row],[ReisetidOslo]]&lt;=D$427,D$427,IF(Tabell2[[#This Row],[ReisetidOslo]]&gt;=D$428,D$428,Tabell2[[#This Row],[ReisetidOslo]]))</f>
        <v>221.90625</v>
      </c>
      <c r="N391" s="32">
        <f>IF(Tabell2[[#This Row],[Beftettotal]]&lt;=E$427,E$427,IF(Tabell2[[#This Row],[Beftettotal]]&gt;=E$428,E$428,Tabell2[[#This Row],[Beftettotal]]))</f>
        <v>2.0386566091738043</v>
      </c>
      <c r="O391" s="32">
        <f>IF(Tabell2[[#This Row],[Befvekst10]]&lt;=F$427,F$427,IF(Tabell2[[#This Row],[Befvekst10]]&gt;=F$428,F$428,Tabell2[[#This Row],[Befvekst10]]))</f>
        <v>2.8983308042488609E-2</v>
      </c>
      <c r="P391" s="32">
        <f>IF(Tabell2[[#This Row],[Kvinneandel]]&lt;=G$427,G$427,IF(Tabell2[[#This Row],[Kvinneandel]]&gt;=G$428,G$428,Tabell2[[#This Row],[Kvinneandel]]))</f>
        <v>0.11650199085680578</v>
      </c>
      <c r="Q391" s="32">
        <f>IF(Tabell2[[#This Row],[Eldreandel]]&lt;=H$427,H$427,IF(Tabell2[[#This Row],[Eldreandel]]&gt;=H$428,H$428,Tabell2[[#This Row],[Eldreandel]]))</f>
        <v>0.16384014157203952</v>
      </c>
      <c r="R391" s="32">
        <f>IF(Tabell2[[#This Row],[Sysselsettingsvekst10]]&lt;=I$427,I$427,IF(Tabell2[[#This Row],[Sysselsettingsvekst10]]&gt;=I$428,I$428,Tabell2[[#This Row],[Sysselsettingsvekst10]]))</f>
        <v>1.7180256340332711E-2</v>
      </c>
      <c r="S391" s="32">
        <f>IF(Tabell2[[#This Row],[Yrkesaktivandel]]&lt;=J$427,J$427,IF(Tabell2[[#This Row],[Yrkesaktivandel]]&gt;=J$428,J$428,Tabell2[[#This Row],[Yrkesaktivandel]]))</f>
        <v>0.90746877389752745</v>
      </c>
      <c r="T391" s="67">
        <f>IF(Tabell2[[#This Row],[Inntekt]]&lt;=K$427,K$427,IF(Tabell2[[#This Row],[Inntekt]]&gt;=K$428,K$428,Tabell2[[#This Row],[Inntekt]]))</f>
        <v>428200</v>
      </c>
      <c r="U391" s="10">
        <f>IF(Tabell2[[#This Row],[NIBR11-T]]&lt;=L$430,100,IF(Tabell2[[#This Row],[NIBR11-T]]&gt;=L$429,0,100*(L$429-Tabell2[[#This Row],[NIBR11-T]])/L$432))</f>
        <v>20</v>
      </c>
      <c r="V391" s="10">
        <f>(M$429-Tabell2[[#This Row],[ReisetidOslo-T]])*100/M$432</f>
        <v>27.928737558860867</v>
      </c>
      <c r="W391" s="10">
        <f>100-(N$429-Tabell2[[#This Row],[Beftettotal-T]])*100/N$432</f>
        <v>0.59118683460559396</v>
      </c>
      <c r="X391" s="10">
        <f>100-(O$429-Tabell2[[#This Row],[Befvekst10-T]])*100/O$432</f>
        <v>35.973951019663076</v>
      </c>
      <c r="Y391" s="10">
        <f>100-(P$429-Tabell2[[#This Row],[Kvinneandel-T]])*100/P$432</f>
        <v>70.219783906676952</v>
      </c>
      <c r="Z391" s="10">
        <f>(Q$429-Tabell2[[#This Row],[Eldreandel-T]])*100/Q$432</f>
        <v>63.845001697505715</v>
      </c>
      <c r="AA391" s="10">
        <f>100-(R$429-Tabell2[[#This Row],[Sysselsettingsvekst10-T]])*100/R$432</f>
        <v>43.373645592842678</v>
      </c>
      <c r="AB391" s="10">
        <f>100-(S$429-Tabell2[[#This Row],[Yrkesaktivandel-T]])*100/S$432</f>
        <v>85.649431340648732</v>
      </c>
      <c r="AC391" s="10">
        <f>100-(T$429-Tabell2[[#This Row],[Inntekt-T]])*100/T$432</f>
        <v>76.718871487282016</v>
      </c>
      <c r="AD39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41.324216765565744</v>
      </c>
    </row>
    <row r="392" spans="1:30" x14ac:dyDescent="0.25">
      <c r="A392" s="2" t="s">
        <v>339</v>
      </c>
      <c r="B392" s="2">
        <v>390</v>
      </c>
      <c r="C392">
        <f>'Rådata-K'!N391</f>
        <v>8</v>
      </c>
      <c r="D392" s="30">
        <f>'Rådata-K'!M391</f>
        <v>231.6875</v>
      </c>
      <c r="E392" s="32">
        <f>'Rådata-K'!O391</f>
        <v>9.6796522413267994</v>
      </c>
      <c r="F392" s="32">
        <f>'Rådata-K'!P391</f>
        <v>5.4600301659125217E-2</v>
      </c>
      <c r="G392" s="32">
        <f>'Rådata-K'!Q391</f>
        <v>0.1101258581235698</v>
      </c>
      <c r="H392" s="32">
        <f>'Rådata-K'!R391</f>
        <v>0.16361556064073227</v>
      </c>
      <c r="I392" s="32">
        <f>'Rådata-K'!S391</f>
        <v>-1.4245014245014231E-2</v>
      </c>
      <c r="J392" s="32">
        <f>'Rådata-K'!T391</f>
        <v>0.84483627204030232</v>
      </c>
      <c r="K392" s="67">
        <f>'Rådata-K'!L391</f>
        <v>404500</v>
      </c>
      <c r="L392" s="18">
        <f>Tabell2[[#This Row],[NIBR11]]</f>
        <v>8</v>
      </c>
      <c r="M392" s="32">
        <f>IF(Tabell2[[#This Row],[ReisetidOslo]]&lt;=D$427,D$427,IF(Tabell2[[#This Row],[ReisetidOslo]]&gt;=D$428,D$428,Tabell2[[#This Row],[ReisetidOslo]]))</f>
        <v>231.6875</v>
      </c>
      <c r="N392" s="32">
        <f>IF(Tabell2[[#This Row],[Beftettotal]]&lt;=E$427,E$427,IF(Tabell2[[#This Row],[Beftettotal]]&gt;=E$428,E$428,Tabell2[[#This Row],[Beftettotal]]))</f>
        <v>9.6796522413267994</v>
      </c>
      <c r="O392" s="32">
        <f>IF(Tabell2[[#This Row],[Befvekst10]]&lt;=F$427,F$427,IF(Tabell2[[#This Row],[Befvekst10]]&gt;=F$428,F$428,Tabell2[[#This Row],[Befvekst10]]))</f>
        <v>5.4600301659125217E-2</v>
      </c>
      <c r="P392" s="32">
        <f>IF(Tabell2[[#This Row],[Kvinneandel]]&lt;=G$427,G$427,IF(Tabell2[[#This Row],[Kvinneandel]]&gt;=G$428,G$428,Tabell2[[#This Row],[Kvinneandel]]))</f>
        <v>0.1101258581235698</v>
      </c>
      <c r="Q392" s="32">
        <f>IF(Tabell2[[#This Row],[Eldreandel]]&lt;=H$427,H$427,IF(Tabell2[[#This Row],[Eldreandel]]&gt;=H$428,H$428,Tabell2[[#This Row],[Eldreandel]]))</f>
        <v>0.16361556064073227</v>
      </c>
      <c r="R392" s="32">
        <f>IF(Tabell2[[#This Row],[Sysselsettingsvekst10]]&lt;=I$427,I$427,IF(Tabell2[[#This Row],[Sysselsettingsvekst10]]&gt;=I$428,I$428,Tabell2[[#This Row],[Sysselsettingsvekst10]]))</f>
        <v>-1.4245014245014231E-2</v>
      </c>
      <c r="S392" s="32">
        <f>IF(Tabell2[[#This Row],[Yrkesaktivandel]]&lt;=J$427,J$427,IF(Tabell2[[#This Row],[Yrkesaktivandel]]&gt;=J$428,J$428,Tabell2[[#This Row],[Yrkesaktivandel]]))</f>
        <v>0.84483627204030232</v>
      </c>
      <c r="T392" s="67">
        <f>IF(Tabell2[[#This Row],[Inntekt]]&lt;=K$427,K$427,IF(Tabell2[[#This Row],[Inntekt]]&gt;=K$428,K$428,Tabell2[[#This Row],[Inntekt]]))</f>
        <v>404500</v>
      </c>
      <c r="U392" s="10">
        <f>IF(Tabell2[[#This Row],[NIBR11-T]]&lt;=L$430,100,IF(Tabell2[[#This Row],[NIBR11-T]]&gt;=L$429,0,100*(L$429-Tabell2[[#This Row],[NIBR11-T]])/L$432))</f>
        <v>30</v>
      </c>
      <c r="V392" s="10">
        <f>(M$429-Tabell2[[#This Row],[ReisetidOslo-T]])*100/M$432</f>
        <v>23.714654037879644</v>
      </c>
      <c r="W392" s="10">
        <f>100-(N$429-Tabell2[[#This Row],[Beftettotal-T]])*100/N$432</f>
        <v>6.2860656653082003</v>
      </c>
      <c r="X392" s="10">
        <f>100-(O$429-Tabell2[[#This Row],[Befvekst10-T]])*100/O$432</f>
        <v>47.009106452428441</v>
      </c>
      <c r="Y392" s="10">
        <f>100-(P$429-Tabell2[[#This Row],[Kvinneandel-T]])*100/P$432</f>
        <v>53.378484160564369</v>
      </c>
      <c r="Z392" s="10">
        <f>(Q$429-Tabell2[[#This Row],[Eldreandel-T]])*100/Q$432</f>
        <v>64.087237445578666</v>
      </c>
      <c r="AA392" s="10">
        <f>100-(R$429-Tabell2[[#This Row],[Sysselsettingsvekst10-T]])*100/R$432</f>
        <v>32.379698956592136</v>
      </c>
      <c r="AB392" s="10">
        <f>100-(S$429-Tabell2[[#This Row],[Yrkesaktivandel-T]])*100/S$432</f>
        <v>37.068915849707317</v>
      </c>
      <c r="AC392" s="10">
        <f>100-(T$429-Tabell2[[#This Row],[Inntekt-T]])*100/T$432</f>
        <v>50.394313006775519</v>
      </c>
      <c r="AD39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36.259472122419126</v>
      </c>
    </row>
    <row r="393" spans="1:30" x14ac:dyDescent="0.25">
      <c r="A393" s="2" t="s">
        <v>340</v>
      </c>
      <c r="B393" s="2">
        <v>391</v>
      </c>
      <c r="C393">
        <f>'Rådata-K'!N392</f>
        <v>8</v>
      </c>
      <c r="D393" s="30">
        <f>'Rådata-K'!M392</f>
        <v>255.8125</v>
      </c>
      <c r="E393" s="32">
        <f>'Rådata-K'!O392</f>
        <v>3.9439939003257787</v>
      </c>
      <c r="F393" s="32">
        <f>'Rådata-K'!P392</f>
        <v>-0.10039525691699602</v>
      </c>
      <c r="G393" s="32">
        <f>'Rådata-K'!Q392</f>
        <v>8.7873462214411252E-2</v>
      </c>
      <c r="H393" s="32">
        <f>'Rådata-K'!R392</f>
        <v>0.22319859402460457</v>
      </c>
      <c r="I393" s="32">
        <f>'Rådata-K'!S392</f>
        <v>-0.11111111111111116</v>
      </c>
      <c r="J393" s="32">
        <f>'Rådata-K'!T392</f>
        <v>0.81361426256077796</v>
      </c>
      <c r="K393" s="67">
        <f>'Rådata-K'!L392</f>
        <v>360600</v>
      </c>
      <c r="L393" s="18">
        <f>Tabell2[[#This Row],[NIBR11]]</f>
        <v>8</v>
      </c>
      <c r="M393" s="32">
        <f>IF(Tabell2[[#This Row],[ReisetidOslo]]&lt;=D$427,D$427,IF(Tabell2[[#This Row],[ReisetidOslo]]&gt;=D$428,D$428,Tabell2[[#This Row],[ReisetidOslo]]))</f>
        <v>255.8125</v>
      </c>
      <c r="N393" s="32">
        <f>IF(Tabell2[[#This Row],[Beftettotal]]&lt;=E$427,E$427,IF(Tabell2[[#This Row],[Beftettotal]]&gt;=E$428,E$428,Tabell2[[#This Row],[Beftettotal]]))</f>
        <v>3.9439939003257787</v>
      </c>
      <c r="O393" s="32">
        <f>IF(Tabell2[[#This Row],[Befvekst10]]&lt;=F$427,F$427,IF(Tabell2[[#This Row],[Befvekst10]]&gt;=F$428,F$428,Tabell2[[#This Row],[Befvekst10]]))</f>
        <v>-5.4526569027269343E-2</v>
      </c>
      <c r="P393" s="32">
        <f>IF(Tabell2[[#This Row],[Kvinneandel]]&lt;=G$427,G$427,IF(Tabell2[[#This Row],[Kvinneandel]]&gt;=G$428,G$428,Tabell2[[#This Row],[Kvinneandel]]))</f>
        <v>8.9916711250255951E-2</v>
      </c>
      <c r="Q393" s="32">
        <f>IF(Tabell2[[#This Row],[Eldreandel]]&lt;=H$427,H$427,IF(Tabell2[[#This Row],[Eldreandel]]&gt;=H$428,H$428,Tabell2[[#This Row],[Eldreandel]]))</f>
        <v>0.22303194152148736</v>
      </c>
      <c r="R393" s="32">
        <f>IF(Tabell2[[#This Row],[Sysselsettingsvekst10]]&lt;=I$427,I$427,IF(Tabell2[[#This Row],[Sysselsettingsvekst10]]&gt;=I$428,I$428,Tabell2[[#This Row],[Sysselsettingsvekst10]]))</f>
        <v>-0.10679965679965678</v>
      </c>
      <c r="S393" s="32">
        <f>IF(Tabell2[[#This Row],[Yrkesaktivandel]]&lt;=J$427,J$427,IF(Tabell2[[#This Row],[Yrkesaktivandel]]&gt;=J$428,J$428,Tabell2[[#This Row],[Yrkesaktivandel]]))</f>
        <v>0.81361426256077796</v>
      </c>
      <c r="T393" s="67">
        <f>IF(Tabell2[[#This Row],[Inntekt]]&lt;=K$427,K$427,IF(Tabell2[[#This Row],[Inntekt]]&gt;=K$428,K$428,Tabell2[[#This Row],[Inntekt]]))</f>
        <v>360600</v>
      </c>
      <c r="U393" s="10">
        <f>IF(Tabell2[[#This Row],[NIBR11-T]]&lt;=L$430,100,IF(Tabell2[[#This Row],[NIBR11-T]]&gt;=L$429,0,100*(L$429-Tabell2[[#This Row],[NIBR11-T]])/L$432))</f>
        <v>30</v>
      </c>
      <c r="V393" s="10">
        <f>(M$429-Tabell2[[#This Row],[ReisetidOslo-T]])*100/M$432</f>
        <v>13.320812254501043</v>
      </c>
      <c r="W393" s="10">
        <f>100-(N$429-Tabell2[[#This Row],[Beftettotal-T]])*100/N$432</f>
        <v>2.0112458854275133</v>
      </c>
      <c r="X393" s="10">
        <f>100-(O$429-Tabell2[[#This Row],[Befvekst10-T]])*100/O$432</f>
        <v>0</v>
      </c>
      <c r="Y393" s="10">
        <f>100-(P$429-Tabell2[[#This Row],[Kvinneandel-T]])*100/P$432</f>
        <v>0</v>
      </c>
      <c r="Z393" s="10">
        <f>(Q$429-Tabell2[[#This Row],[Eldreandel-T]])*100/Q$432</f>
        <v>0</v>
      </c>
      <c r="AA393" s="10">
        <f>100-(R$429-Tabell2[[#This Row],[Sysselsettingsvekst10-T]])*100/R$432</f>
        <v>0</v>
      </c>
      <c r="AB393" s="10">
        <f>100-(S$429-Tabell2[[#This Row],[Yrkesaktivandel-T]])*100/S$432</f>
        <v>12.851755905562754</v>
      </c>
      <c r="AC393" s="10">
        <f>100-(T$429-Tabell2[[#This Row],[Inntekt-T]])*100/T$432</f>
        <v>1.6327890703098973</v>
      </c>
      <c r="AD39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8.9816603115801215</v>
      </c>
    </row>
    <row r="394" spans="1:30" x14ac:dyDescent="0.25">
      <c r="A394" s="2" t="s">
        <v>341</v>
      </c>
      <c r="B394" s="2">
        <v>392</v>
      </c>
      <c r="C394">
        <f>'Rådata-K'!N393</f>
        <v>8</v>
      </c>
      <c r="D394" s="30">
        <f>'Rådata-K'!M393</f>
        <v>265.9375</v>
      </c>
      <c r="E394" s="32">
        <f>'Rådata-K'!O393</f>
        <v>2.9396606028213106</v>
      </c>
      <c r="F394" s="32">
        <f>'Rådata-K'!P393</f>
        <v>-1.9108280254777066E-2</v>
      </c>
      <c r="G394" s="32">
        <f>'Rådata-K'!Q393</f>
        <v>9.0909090909090912E-2</v>
      </c>
      <c r="H394" s="32">
        <f>'Rådata-K'!R393</f>
        <v>0.23311688311688311</v>
      </c>
      <c r="I394" s="32">
        <f>'Rådata-K'!S393</f>
        <v>-0.17580340264650285</v>
      </c>
      <c r="J394" s="32">
        <f>'Rådata-K'!T393</f>
        <v>0.84255842558425587</v>
      </c>
      <c r="K394" s="67">
        <f>'Rådata-K'!L393</f>
        <v>364900</v>
      </c>
      <c r="L394" s="18">
        <f>Tabell2[[#This Row],[NIBR11]]</f>
        <v>8</v>
      </c>
      <c r="M394" s="32">
        <f>IF(Tabell2[[#This Row],[ReisetidOslo]]&lt;=D$427,D$427,IF(Tabell2[[#This Row],[ReisetidOslo]]&gt;=D$428,D$428,Tabell2[[#This Row],[ReisetidOslo]]))</f>
        <v>265.9375</v>
      </c>
      <c r="N394" s="32">
        <f>IF(Tabell2[[#This Row],[Beftettotal]]&lt;=E$427,E$427,IF(Tabell2[[#This Row],[Beftettotal]]&gt;=E$428,E$428,Tabell2[[#This Row],[Beftettotal]]))</f>
        <v>2.9396606028213106</v>
      </c>
      <c r="O394" s="32">
        <f>IF(Tabell2[[#This Row],[Befvekst10]]&lt;=F$427,F$427,IF(Tabell2[[#This Row],[Befvekst10]]&gt;=F$428,F$428,Tabell2[[#This Row],[Befvekst10]]))</f>
        <v>-1.9108280254777066E-2</v>
      </c>
      <c r="P394" s="32">
        <f>IF(Tabell2[[#This Row],[Kvinneandel]]&lt;=G$427,G$427,IF(Tabell2[[#This Row],[Kvinneandel]]&gt;=G$428,G$428,Tabell2[[#This Row],[Kvinneandel]]))</f>
        <v>9.0909090909090912E-2</v>
      </c>
      <c r="Q394" s="32">
        <f>IF(Tabell2[[#This Row],[Eldreandel]]&lt;=H$427,H$427,IF(Tabell2[[#This Row],[Eldreandel]]&gt;=H$428,H$428,Tabell2[[#This Row],[Eldreandel]]))</f>
        <v>0.22303194152148736</v>
      </c>
      <c r="R394" s="32">
        <f>IF(Tabell2[[#This Row],[Sysselsettingsvekst10]]&lt;=I$427,I$427,IF(Tabell2[[#This Row],[Sysselsettingsvekst10]]&gt;=I$428,I$428,Tabell2[[#This Row],[Sysselsettingsvekst10]]))</f>
        <v>-0.10679965679965678</v>
      </c>
      <c r="S394" s="32">
        <f>IF(Tabell2[[#This Row],[Yrkesaktivandel]]&lt;=J$427,J$427,IF(Tabell2[[#This Row],[Yrkesaktivandel]]&gt;=J$428,J$428,Tabell2[[#This Row],[Yrkesaktivandel]]))</f>
        <v>0.84255842558425587</v>
      </c>
      <c r="T394" s="67">
        <f>IF(Tabell2[[#This Row],[Inntekt]]&lt;=K$427,K$427,IF(Tabell2[[#This Row],[Inntekt]]&gt;=K$428,K$428,Tabell2[[#This Row],[Inntekt]]))</f>
        <v>364900</v>
      </c>
      <c r="U394" s="10">
        <f>IF(Tabell2[[#This Row],[NIBR11-T]]&lt;=L$430,100,IF(Tabell2[[#This Row],[NIBR11-T]]&gt;=L$429,0,100*(L$429-Tabell2[[#This Row],[NIBR11-T]])/L$432))</f>
        <v>30</v>
      </c>
      <c r="V394" s="10">
        <f>(M$429-Tabell2[[#This Row],[ReisetidOslo-T]])*100/M$432</f>
        <v>8.958629951632302</v>
      </c>
      <c r="W394" s="10">
        <f>100-(N$429-Tabell2[[#This Row],[Beftettotal-T]])*100/N$432</f>
        <v>1.2627103921129503</v>
      </c>
      <c r="X394" s="10">
        <f>100-(O$429-Tabell2[[#This Row],[Befvekst10-T]])*100/O$432</f>
        <v>15.257306443375569</v>
      </c>
      <c r="Y394" s="10">
        <f>100-(P$429-Tabell2[[#This Row],[Kvinneandel-T]])*100/P$432</f>
        <v>2.621175561366087</v>
      </c>
      <c r="Z394" s="10">
        <f>(Q$429-Tabell2[[#This Row],[Eldreandel-T]])*100/Q$432</f>
        <v>0</v>
      </c>
      <c r="AA394" s="10">
        <f>100-(R$429-Tabell2[[#This Row],[Sysselsettingsvekst10-T]])*100/R$432</f>
        <v>0</v>
      </c>
      <c r="AB394" s="10">
        <f>100-(S$429-Tabell2[[#This Row],[Yrkesaktivandel-T]])*100/S$432</f>
        <v>35.302118232454134</v>
      </c>
      <c r="AC394" s="10">
        <f>100-(T$429-Tabell2[[#This Row],[Inntekt-T]])*100/T$432</f>
        <v>6.4089747861823838</v>
      </c>
      <c r="AD39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14.375763402981594</v>
      </c>
    </row>
    <row r="395" spans="1:30" x14ac:dyDescent="0.25">
      <c r="A395" s="2" t="s">
        <v>342</v>
      </c>
      <c r="B395" s="2">
        <v>393</v>
      </c>
      <c r="C395">
        <f>'Rådata-K'!N394</f>
        <v>11</v>
      </c>
      <c r="D395" s="30">
        <f>'Rådata-K'!M394</f>
        <v>300.625</v>
      </c>
      <c r="E395" s="32">
        <f>'Rådata-K'!O394</f>
        <v>3.7835839290115847</v>
      </c>
      <c r="F395" s="32">
        <f>'Rådata-K'!P394</f>
        <v>-5.8282208588957052E-2</v>
      </c>
      <c r="G395" s="32">
        <f>'Rådata-K'!Q394</f>
        <v>9.2290988056460369E-2</v>
      </c>
      <c r="H395" s="32">
        <f>'Rådata-K'!R394</f>
        <v>0.23995656894679696</v>
      </c>
      <c r="I395" s="32">
        <f>'Rådata-K'!S394</f>
        <v>-3.3734939759036187E-2</v>
      </c>
      <c r="J395" s="32">
        <f>'Rådata-K'!T394</f>
        <v>0.81557377049180324</v>
      </c>
      <c r="K395" s="67">
        <f>'Rådata-K'!L394</f>
        <v>357900</v>
      </c>
      <c r="L395" s="18">
        <f>Tabell2[[#This Row],[NIBR11]]</f>
        <v>11</v>
      </c>
      <c r="M395" s="32">
        <f>IF(Tabell2[[#This Row],[ReisetidOslo]]&lt;=D$427,D$427,IF(Tabell2[[#This Row],[ReisetidOslo]]&gt;=D$428,D$428,Tabell2[[#This Row],[ReisetidOslo]]))</f>
        <v>286.73125000000005</v>
      </c>
      <c r="N395" s="32">
        <f>IF(Tabell2[[#This Row],[Beftettotal]]&lt;=E$427,E$427,IF(Tabell2[[#This Row],[Beftettotal]]&gt;=E$428,E$428,Tabell2[[#This Row],[Beftettotal]]))</f>
        <v>3.7835839290115847</v>
      </c>
      <c r="O395" s="32">
        <f>IF(Tabell2[[#This Row],[Befvekst10]]&lt;=F$427,F$427,IF(Tabell2[[#This Row],[Befvekst10]]&gt;=F$428,F$428,Tabell2[[#This Row],[Befvekst10]]))</f>
        <v>-5.4526569027269343E-2</v>
      </c>
      <c r="P395" s="32">
        <f>IF(Tabell2[[#This Row],[Kvinneandel]]&lt;=G$427,G$427,IF(Tabell2[[#This Row],[Kvinneandel]]&gt;=G$428,G$428,Tabell2[[#This Row],[Kvinneandel]]))</f>
        <v>9.2290988056460369E-2</v>
      </c>
      <c r="Q395" s="32">
        <f>IF(Tabell2[[#This Row],[Eldreandel]]&lt;=H$427,H$427,IF(Tabell2[[#This Row],[Eldreandel]]&gt;=H$428,H$428,Tabell2[[#This Row],[Eldreandel]]))</f>
        <v>0.22303194152148736</v>
      </c>
      <c r="R395" s="32">
        <f>IF(Tabell2[[#This Row],[Sysselsettingsvekst10]]&lt;=I$427,I$427,IF(Tabell2[[#This Row],[Sysselsettingsvekst10]]&gt;=I$428,I$428,Tabell2[[#This Row],[Sysselsettingsvekst10]]))</f>
        <v>-3.3734939759036187E-2</v>
      </c>
      <c r="S395" s="32">
        <f>IF(Tabell2[[#This Row],[Yrkesaktivandel]]&lt;=J$427,J$427,IF(Tabell2[[#This Row],[Yrkesaktivandel]]&gt;=J$428,J$428,Tabell2[[#This Row],[Yrkesaktivandel]]))</f>
        <v>0.81557377049180324</v>
      </c>
      <c r="T395" s="67">
        <f>IF(Tabell2[[#This Row],[Inntekt]]&lt;=K$427,K$427,IF(Tabell2[[#This Row],[Inntekt]]&gt;=K$428,K$428,Tabell2[[#This Row],[Inntekt]]))</f>
        <v>359130</v>
      </c>
      <c r="U395" s="10">
        <f>IF(Tabell2[[#This Row],[NIBR11-T]]&lt;=L$430,100,IF(Tabell2[[#This Row],[NIBR11-T]]&gt;=L$429,0,100*(L$429-Tabell2[[#This Row],[NIBR11-T]])/L$432))</f>
        <v>0</v>
      </c>
      <c r="V395" s="10">
        <f>(M$429-Tabell2[[#This Row],[ReisetidOslo-T]])*100/M$432</f>
        <v>0</v>
      </c>
      <c r="W395" s="10">
        <f>100-(N$429-Tabell2[[#This Row],[Beftettotal-T]])*100/N$432</f>
        <v>1.8916913935983644</v>
      </c>
      <c r="X395" s="10">
        <f>100-(O$429-Tabell2[[#This Row],[Befvekst10-T]])*100/O$432</f>
        <v>0</v>
      </c>
      <c r="Y395" s="10">
        <f>100-(P$429-Tabell2[[#This Row],[Kvinneandel-T]])*100/P$432</f>
        <v>6.2711849088558864</v>
      </c>
      <c r="Z395" s="10">
        <f>(Q$429-Tabell2[[#This Row],[Eldreandel-T]])*100/Q$432</f>
        <v>0</v>
      </c>
      <c r="AA395" s="10">
        <f>100-(R$429-Tabell2[[#This Row],[Sysselsettingsvekst10-T]])*100/R$432</f>
        <v>25.561262804587571</v>
      </c>
      <c r="AB395" s="10">
        <f>100-(S$429-Tabell2[[#This Row],[Yrkesaktivandel-T]])*100/S$432</f>
        <v>14.371636200537978</v>
      </c>
      <c r="AC395" s="10">
        <f>100-(T$429-Tabell2[[#This Row],[Inntekt-T]])*100/T$432</f>
        <v>0</v>
      </c>
      <c r="AD39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4.496018285315186</v>
      </c>
    </row>
    <row r="396" spans="1:30" x14ac:dyDescent="0.25">
      <c r="A396" s="2" t="s">
        <v>343</v>
      </c>
      <c r="B396" s="2">
        <v>394</v>
      </c>
      <c r="C396">
        <f>'Rådata-K'!N395</f>
        <v>11</v>
      </c>
      <c r="D396" s="30">
        <f>'Rådata-K'!M395</f>
        <v>298.625</v>
      </c>
      <c r="E396" s="32">
        <f>'Rådata-K'!O395</f>
        <v>3.1100071455306408</v>
      </c>
      <c r="F396" s="32">
        <f>'Rådata-K'!P395</f>
        <v>-4.9896049896049899E-2</v>
      </c>
      <c r="G396" s="32">
        <f>'Rådata-K'!Q395</f>
        <v>0.11597374179431072</v>
      </c>
      <c r="H396" s="32">
        <f>'Rådata-K'!R395</f>
        <v>0.2024070021881838</v>
      </c>
      <c r="I396" s="32">
        <f>'Rådata-K'!S395</f>
        <v>0.13466334164588534</v>
      </c>
      <c r="J396" s="32">
        <f>'Rådata-K'!T395</f>
        <v>0.82551594746716694</v>
      </c>
      <c r="K396" s="67">
        <f>'Rådata-K'!L395</f>
        <v>370600</v>
      </c>
      <c r="L396" s="18">
        <f>Tabell2[[#This Row],[NIBR11]]</f>
        <v>11</v>
      </c>
      <c r="M396" s="32">
        <f>IF(Tabell2[[#This Row],[ReisetidOslo]]&lt;=D$427,D$427,IF(Tabell2[[#This Row],[ReisetidOslo]]&gt;=D$428,D$428,Tabell2[[#This Row],[ReisetidOslo]]))</f>
        <v>286.73125000000005</v>
      </c>
      <c r="N396" s="32">
        <f>IF(Tabell2[[#This Row],[Beftettotal]]&lt;=E$427,E$427,IF(Tabell2[[#This Row],[Beftettotal]]&gt;=E$428,E$428,Tabell2[[#This Row],[Beftettotal]]))</f>
        <v>3.1100071455306408</v>
      </c>
      <c r="O396" s="32">
        <f>IF(Tabell2[[#This Row],[Befvekst10]]&lt;=F$427,F$427,IF(Tabell2[[#This Row],[Befvekst10]]&gt;=F$428,F$428,Tabell2[[#This Row],[Befvekst10]]))</f>
        <v>-4.9896049896049899E-2</v>
      </c>
      <c r="P396" s="32">
        <f>IF(Tabell2[[#This Row],[Kvinneandel]]&lt;=G$427,G$427,IF(Tabell2[[#This Row],[Kvinneandel]]&gt;=G$428,G$428,Tabell2[[#This Row],[Kvinneandel]]))</f>
        <v>0.11597374179431072</v>
      </c>
      <c r="Q396" s="32">
        <f>IF(Tabell2[[#This Row],[Eldreandel]]&lt;=H$427,H$427,IF(Tabell2[[#This Row],[Eldreandel]]&gt;=H$428,H$428,Tabell2[[#This Row],[Eldreandel]]))</f>
        <v>0.2024070021881838</v>
      </c>
      <c r="R396" s="32">
        <f>IF(Tabell2[[#This Row],[Sysselsettingsvekst10]]&lt;=I$427,I$427,IF(Tabell2[[#This Row],[Sysselsettingsvekst10]]&gt;=I$428,I$428,Tabell2[[#This Row],[Sysselsettingsvekst10]]))</f>
        <v>0.13466334164588534</v>
      </c>
      <c r="S396" s="32">
        <f>IF(Tabell2[[#This Row],[Yrkesaktivandel]]&lt;=J$427,J$427,IF(Tabell2[[#This Row],[Yrkesaktivandel]]&gt;=J$428,J$428,Tabell2[[#This Row],[Yrkesaktivandel]]))</f>
        <v>0.82551594746716694</v>
      </c>
      <c r="T396" s="67">
        <f>IF(Tabell2[[#This Row],[Inntekt]]&lt;=K$427,K$427,IF(Tabell2[[#This Row],[Inntekt]]&gt;=K$428,K$428,Tabell2[[#This Row],[Inntekt]]))</f>
        <v>370600</v>
      </c>
      <c r="U396" s="10">
        <f>IF(Tabell2[[#This Row],[NIBR11-T]]&lt;=L$430,100,IF(Tabell2[[#This Row],[NIBR11-T]]&gt;=L$429,0,100*(L$429-Tabell2[[#This Row],[NIBR11-T]])/L$432))</f>
        <v>0</v>
      </c>
      <c r="V396" s="10">
        <f>(M$429-Tabell2[[#This Row],[ReisetidOslo-T]])*100/M$432</f>
        <v>0</v>
      </c>
      <c r="W396" s="10">
        <f>100-(N$429-Tabell2[[#This Row],[Beftettotal-T]])*100/N$432</f>
        <v>1.3896706688439906</v>
      </c>
      <c r="X396" s="10">
        <f>100-(O$429-Tabell2[[#This Row],[Befvekst10-T]])*100/O$432</f>
        <v>1.9947109763190554</v>
      </c>
      <c r="Y396" s="10">
        <f>100-(P$429-Tabell2[[#This Row],[Kvinneandel-T]])*100/P$432</f>
        <v>68.824517971306889</v>
      </c>
      <c r="Z396" s="10">
        <f>(Q$429-Tabell2[[#This Row],[Eldreandel-T]])*100/Q$432</f>
        <v>22.246312628950587</v>
      </c>
      <c r="AA396" s="10">
        <f>100-(R$429-Tabell2[[#This Row],[Sysselsettingsvekst10-T]])*100/R$432</f>
        <v>84.47441406525698</v>
      </c>
      <c r="AB396" s="10">
        <f>100-(S$429-Tabell2[[#This Row],[Yrkesaktivandel-T]])*100/S$432</f>
        <v>22.083224724757542</v>
      </c>
      <c r="AC396" s="10">
        <f>100-(T$429-Tabell2[[#This Row],[Inntekt-T]])*100/T$432</f>
        <v>12.740197711873819</v>
      </c>
      <c r="AD39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17.021234442349918</v>
      </c>
    </row>
    <row r="397" spans="1:30" x14ac:dyDescent="0.25">
      <c r="A397" s="2" t="s">
        <v>344</v>
      </c>
      <c r="B397" s="2">
        <v>395</v>
      </c>
      <c r="C397">
        <f>'Rådata-K'!N396</f>
        <v>8</v>
      </c>
      <c r="D397" s="30">
        <f>'Rådata-K'!M396</f>
        <v>248.5625</v>
      </c>
      <c r="E397" s="32">
        <f>'Rådata-K'!O396</f>
        <v>13.10309289899069</v>
      </c>
      <c r="F397" s="32">
        <f>'Rådata-K'!P396</f>
        <v>6.0759952843021603E-2</v>
      </c>
      <c r="G397" s="32">
        <f>'Rådata-K'!Q396</f>
        <v>0.11131059245960502</v>
      </c>
      <c r="H397" s="32">
        <f>'Rådata-K'!R396</f>
        <v>0.15414208771479868</v>
      </c>
      <c r="I397" s="32">
        <f>'Rådata-K'!S396</f>
        <v>0.13562453806356256</v>
      </c>
      <c r="J397" s="32">
        <f>'Rådata-K'!T396</f>
        <v>0.84429591371715018</v>
      </c>
      <c r="K397" s="67">
        <f>'Rådata-K'!L396</f>
        <v>402800</v>
      </c>
      <c r="L397" s="18">
        <f>Tabell2[[#This Row],[NIBR11]]</f>
        <v>8</v>
      </c>
      <c r="M397" s="32">
        <f>IF(Tabell2[[#This Row],[ReisetidOslo]]&lt;=D$427,D$427,IF(Tabell2[[#This Row],[ReisetidOslo]]&gt;=D$428,D$428,Tabell2[[#This Row],[ReisetidOslo]]))</f>
        <v>248.5625</v>
      </c>
      <c r="N397" s="32">
        <f>IF(Tabell2[[#This Row],[Beftettotal]]&lt;=E$427,E$427,IF(Tabell2[[#This Row],[Beftettotal]]&gt;=E$428,E$428,Tabell2[[#This Row],[Beftettotal]]))</f>
        <v>13.10309289899069</v>
      </c>
      <c r="O397" s="32">
        <f>IF(Tabell2[[#This Row],[Befvekst10]]&lt;=F$427,F$427,IF(Tabell2[[#This Row],[Befvekst10]]&gt;=F$428,F$428,Tabell2[[#This Row],[Befvekst10]]))</f>
        <v>6.0759952843021603E-2</v>
      </c>
      <c r="P397" s="32">
        <f>IF(Tabell2[[#This Row],[Kvinneandel]]&lt;=G$427,G$427,IF(Tabell2[[#This Row],[Kvinneandel]]&gt;=G$428,G$428,Tabell2[[#This Row],[Kvinneandel]]))</f>
        <v>0.11131059245960502</v>
      </c>
      <c r="Q397" s="32">
        <f>IF(Tabell2[[#This Row],[Eldreandel]]&lt;=H$427,H$427,IF(Tabell2[[#This Row],[Eldreandel]]&gt;=H$428,H$428,Tabell2[[#This Row],[Eldreandel]]))</f>
        <v>0.15414208771479868</v>
      </c>
      <c r="R397" s="32">
        <f>IF(Tabell2[[#This Row],[Sysselsettingsvekst10]]&lt;=I$427,I$427,IF(Tabell2[[#This Row],[Sysselsettingsvekst10]]&gt;=I$428,I$428,Tabell2[[#This Row],[Sysselsettingsvekst10]]))</f>
        <v>0.13562453806356256</v>
      </c>
      <c r="S397" s="32">
        <f>IF(Tabell2[[#This Row],[Yrkesaktivandel]]&lt;=J$427,J$427,IF(Tabell2[[#This Row],[Yrkesaktivandel]]&gt;=J$428,J$428,Tabell2[[#This Row],[Yrkesaktivandel]]))</f>
        <v>0.84429591371715018</v>
      </c>
      <c r="T397" s="67">
        <f>IF(Tabell2[[#This Row],[Inntekt]]&lt;=K$427,K$427,IF(Tabell2[[#This Row],[Inntekt]]&gt;=K$428,K$428,Tabell2[[#This Row],[Inntekt]]))</f>
        <v>402800</v>
      </c>
      <c r="U397" s="10">
        <f>IF(Tabell2[[#This Row],[NIBR11-T]]&lt;=L$430,100,IF(Tabell2[[#This Row],[NIBR11-T]]&gt;=L$429,0,100*(L$429-Tabell2[[#This Row],[NIBR11-T]])/L$432))</f>
        <v>30</v>
      </c>
      <c r="V397" s="10">
        <f>(M$429-Tabell2[[#This Row],[ReisetidOslo-T]])*100/M$432</f>
        <v>16.444350199765079</v>
      </c>
      <c r="W397" s="10">
        <f>100-(N$429-Tabell2[[#This Row],[Beftettotal-T]])*100/N$432</f>
        <v>8.8375760532291139</v>
      </c>
      <c r="X397" s="10">
        <f>100-(O$429-Tabell2[[#This Row],[Befvekst10-T]])*100/O$432</f>
        <v>49.662528990730117</v>
      </c>
      <c r="Y397" s="10">
        <f>100-(P$429-Tabell2[[#This Row],[Kvinneandel-T]])*100/P$432</f>
        <v>56.50772674497253</v>
      </c>
      <c r="Z397" s="10">
        <f>(Q$429-Tabell2[[#This Row],[Eldreandel-T]])*100/Q$432</f>
        <v>74.305441581186258</v>
      </c>
      <c r="AA397" s="10">
        <f>100-(R$429-Tabell2[[#This Row],[Sysselsettingsvekst10-T]])*100/R$432</f>
        <v>84.810682995518022</v>
      </c>
      <c r="AB397" s="10">
        <f>100-(S$429-Tabell2[[#This Row],[Yrkesaktivandel-T]])*100/S$432</f>
        <v>36.649790234249842</v>
      </c>
      <c r="AC397" s="10">
        <f>100-(T$429-Tabell2[[#This Row],[Inntekt-T]])*100/T$432</f>
        <v>48.506053537709654</v>
      </c>
      <c r="AD39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41.998009516501135</v>
      </c>
    </row>
    <row r="398" spans="1:30" x14ac:dyDescent="0.25">
      <c r="A398" s="2" t="s">
        <v>345</v>
      </c>
      <c r="B398" s="2">
        <v>396</v>
      </c>
      <c r="C398">
        <f>'Rådata-K'!N397</f>
        <v>5</v>
      </c>
      <c r="D398" s="30">
        <f>'Rådata-K'!M397</f>
        <v>250.875</v>
      </c>
      <c r="E398" s="32">
        <f>'Rådata-K'!O397</f>
        <v>3.7978235164438749</v>
      </c>
      <c r="F398" s="32">
        <f>'Rådata-K'!P397</f>
        <v>2.0829592386424789E-2</v>
      </c>
      <c r="G398" s="32">
        <f>'Rådata-K'!Q397</f>
        <v>9.7097625329815307E-2</v>
      </c>
      <c r="H398" s="32">
        <f>'Rådata-K'!R397</f>
        <v>0.21160949868073878</v>
      </c>
      <c r="I398" s="32">
        <f>'Rådata-K'!S397</f>
        <v>5.4054054054053946E-2</v>
      </c>
      <c r="J398" s="32">
        <f>'Rådata-K'!T397</f>
        <v>0.87014248704663211</v>
      </c>
      <c r="K398" s="67">
        <f>'Rådata-K'!L397</f>
        <v>369000</v>
      </c>
      <c r="L398" s="18">
        <f>Tabell2[[#This Row],[NIBR11]]</f>
        <v>5</v>
      </c>
      <c r="M398" s="32">
        <f>IF(Tabell2[[#This Row],[ReisetidOslo]]&lt;=D$427,D$427,IF(Tabell2[[#This Row],[ReisetidOslo]]&gt;=D$428,D$428,Tabell2[[#This Row],[ReisetidOslo]]))</f>
        <v>250.875</v>
      </c>
      <c r="N398" s="32">
        <f>IF(Tabell2[[#This Row],[Beftettotal]]&lt;=E$427,E$427,IF(Tabell2[[#This Row],[Beftettotal]]&gt;=E$428,E$428,Tabell2[[#This Row],[Beftettotal]]))</f>
        <v>3.7978235164438749</v>
      </c>
      <c r="O398" s="32">
        <f>IF(Tabell2[[#This Row],[Befvekst10]]&lt;=F$427,F$427,IF(Tabell2[[#This Row],[Befvekst10]]&gt;=F$428,F$428,Tabell2[[#This Row],[Befvekst10]]))</f>
        <v>2.0829592386424789E-2</v>
      </c>
      <c r="P398" s="32">
        <f>IF(Tabell2[[#This Row],[Kvinneandel]]&lt;=G$427,G$427,IF(Tabell2[[#This Row],[Kvinneandel]]&gt;=G$428,G$428,Tabell2[[#This Row],[Kvinneandel]]))</f>
        <v>9.7097625329815307E-2</v>
      </c>
      <c r="Q398" s="32">
        <f>IF(Tabell2[[#This Row],[Eldreandel]]&lt;=H$427,H$427,IF(Tabell2[[#This Row],[Eldreandel]]&gt;=H$428,H$428,Tabell2[[#This Row],[Eldreandel]]))</f>
        <v>0.21160949868073878</v>
      </c>
      <c r="R398" s="32">
        <f>IF(Tabell2[[#This Row],[Sysselsettingsvekst10]]&lt;=I$427,I$427,IF(Tabell2[[#This Row],[Sysselsettingsvekst10]]&gt;=I$428,I$428,Tabell2[[#This Row],[Sysselsettingsvekst10]]))</f>
        <v>5.4054054054053946E-2</v>
      </c>
      <c r="S398" s="32">
        <f>IF(Tabell2[[#This Row],[Yrkesaktivandel]]&lt;=J$427,J$427,IF(Tabell2[[#This Row],[Yrkesaktivandel]]&gt;=J$428,J$428,Tabell2[[#This Row],[Yrkesaktivandel]]))</f>
        <v>0.87014248704663211</v>
      </c>
      <c r="T398" s="67">
        <f>IF(Tabell2[[#This Row],[Inntekt]]&lt;=K$427,K$427,IF(Tabell2[[#This Row],[Inntekt]]&gt;=K$428,K$428,Tabell2[[#This Row],[Inntekt]]))</f>
        <v>369000</v>
      </c>
      <c r="U398" s="10">
        <f>IF(Tabell2[[#This Row],[NIBR11-T]]&lt;=L$430,100,IF(Tabell2[[#This Row],[NIBR11-T]]&gt;=L$429,0,100*(L$429-Tabell2[[#This Row],[NIBR11-T]])/L$432))</f>
        <v>60</v>
      </c>
      <c r="V398" s="10">
        <f>(M$429-Tabell2[[#This Row],[ReisetidOslo-T]])*100/M$432</f>
        <v>15.44804930343086</v>
      </c>
      <c r="W398" s="10">
        <f>100-(N$429-Tabell2[[#This Row],[Beftettotal-T]])*100/N$432</f>
        <v>1.902304241573944</v>
      </c>
      <c r="X398" s="10">
        <f>100-(O$429-Tabell2[[#This Row],[Befvekst10-T]])*100/O$432</f>
        <v>32.461535746982449</v>
      </c>
      <c r="Y398" s="10">
        <f>100-(P$429-Tabell2[[#This Row],[Kvinneandel-T]])*100/P$432</f>
        <v>18.966971285675015</v>
      </c>
      <c r="Z398" s="10">
        <f>(Q$429-Tabell2[[#This Row],[Eldreandel-T]])*100/Q$432</f>
        <v>12.32038699921404</v>
      </c>
      <c r="AA398" s="10">
        <f>100-(R$429-Tabell2[[#This Row],[Sysselsettingsvekst10-T]])*100/R$432</f>
        <v>56.273727494749174</v>
      </c>
      <c r="AB398" s="10">
        <f>100-(S$429-Tabell2[[#This Row],[Yrkesaktivandel-T]])*100/S$432</f>
        <v>56.697526134740649</v>
      </c>
      <c r="AC398" s="10">
        <f>100-(T$429-Tabell2[[#This Row],[Inntekt-T]])*100/T$432</f>
        <v>10.963012329223588</v>
      </c>
      <c r="AD39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34.185137014012767</v>
      </c>
    </row>
    <row r="399" spans="1:30" x14ac:dyDescent="0.25">
      <c r="A399" s="2" t="s">
        <v>346</v>
      </c>
      <c r="B399" s="2">
        <v>397</v>
      </c>
      <c r="C399">
        <f>'Rådata-K'!N398</f>
        <v>4</v>
      </c>
      <c r="D399" s="30">
        <f>'Rådata-K'!M398</f>
        <v>261.0625</v>
      </c>
      <c r="E399" s="32">
        <f>'Rådata-K'!O398</f>
        <v>2.0822836412938921</v>
      </c>
      <c r="F399" s="32">
        <f>'Rådata-K'!P398</f>
        <v>-3.0290102389078477E-2</v>
      </c>
      <c r="G399" s="32">
        <f>'Rådata-K'!Q398</f>
        <v>0.10030796304443466</v>
      </c>
      <c r="H399" s="32">
        <f>'Rådata-K'!R398</f>
        <v>0.23053233611966564</v>
      </c>
      <c r="I399" s="32">
        <f>'Rådata-K'!S398</f>
        <v>-2.6624068157614533E-2</v>
      </c>
      <c r="J399" s="32">
        <f>'Rådata-K'!T398</f>
        <v>0.83815480844409695</v>
      </c>
      <c r="K399" s="67">
        <f>'Rådata-K'!L398</f>
        <v>371400</v>
      </c>
      <c r="L399" s="18">
        <f>Tabell2[[#This Row],[NIBR11]]</f>
        <v>4</v>
      </c>
      <c r="M399" s="32">
        <f>IF(Tabell2[[#This Row],[ReisetidOslo]]&lt;=D$427,D$427,IF(Tabell2[[#This Row],[ReisetidOslo]]&gt;=D$428,D$428,Tabell2[[#This Row],[ReisetidOslo]]))</f>
        <v>261.0625</v>
      </c>
      <c r="N399" s="32">
        <f>IF(Tabell2[[#This Row],[Beftettotal]]&lt;=E$427,E$427,IF(Tabell2[[#This Row],[Beftettotal]]&gt;=E$428,E$428,Tabell2[[#This Row],[Beftettotal]]))</f>
        <v>2.0822836412938921</v>
      </c>
      <c r="O399" s="32">
        <f>IF(Tabell2[[#This Row],[Befvekst10]]&lt;=F$427,F$427,IF(Tabell2[[#This Row],[Befvekst10]]&gt;=F$428,F$428,Tabell2[[#This Row],[Befvekst10]]))</f>
        <v>-3.0290102389078477E-2</v>
      </c>
      <c r="P399" s="32">
        <f>IF(Tabell2[[#This Row],[Kvinneandel]]&lt;=G$427,G$427,IF(Tabell2[[#This Row],[Kvinneandel]]&gt;=G$428,G$428,Tabell2[[#This Row],[Kvinneandel]]))</f>
        <v>0.10030796304443466</v>
      </c>
      <c r="Q399" s="32">
        <f>IF(Tabell2[[#This Row],[Eldreandel]]&lt;=H$427,H$427,IF(Tabell2[[#This Row],[Eldreandel]]&gt;=H$428,H$428,Tabell2[[#This Row],[Eldreandel]]))</f>
        <v>0.22303194152148736</v>
      </c>
      <c r="R399" s="32">
        <f>IF(Tabell2[[#This Row],[Sysselsettingsvekst10]]&lt;=I$427,I$427,IF(Tabell2[[#This Row],[Sysselsettingsvekst10]]&gt;=I$428,I$428,Tabell2[[#This Row],[Sysselsettingsvekst10]]))</f>
        <v>-2.6624068157614533E-2</v>
      </c>
      <c r="S399" s="32">
        <f>IF(Tabell2[[#This Row],[Yrkesaktivandel]]&lt;=J$427,J$427,IF(Tabell2[[#This Row],[Yrkesaktivandel]]&gt;=J$428,J$428,Tabell2[[#This Row],[Yrkesaktivandel]]))</f>
        <v>0.83815480844409695</v>
      </c>
      <c r="T399" s="67">
        <f>IF(Tabell2[[#This Row],[Inntekt]]&lt;=K$427,K$427,IF(Tabell2[[#This Row],[Inntekt]]&gt;=K$428,K$428,Tabell2[[#This Row],[Inntekt]]))</f>
        <v>371400</v>
      </c>
      <c r="U399" s="10">
        <f>IF(Tabell2[[#This Row],[NIBR11-T]]&lt;=L$430,100,IF(Tabell2[[#This Row],[NIBR11-T]]&gt;=L$429,0,100*(L$429-Tabell2[[#This Row],[NIBR11-T]])/L$432))</f>
        <v>70</v>
      </c>
      <c r="V399" s="10">
        <f>(M$429-Tabell2[[#This Row],[ReisetidOslo-T]])*100/M$432</f>
        <v>11.058939949309844</v>
      </c>
      <c r="W399" s="10">
        <f>100-(N$429-Tabell2[[#This Row],[Beftettotal-T]])*100/N$432</f>
        <v>0.6237023173551961</v>
      </c>
      <c r="X399" s="10">
        <f>100-(O$429-Tabell2[[#This Row],[Befvekst10-T]])*100/O$432</f>
        <v>10.440459192673359</v>
      </c>
      <c r="Y399" s="10">
        <f>100-(P$429-Tabell2[[#This Row],[Kvinneandel-T]])*100/P$432</f>
        <v>27.446446541315623</v>
      </c>
      <c r="Z399" s="10">
        <f>(Q$429-Tabell2[[#This Row],[Eldreandel-T]])*100/Q$432</f>
        <v>0</v>
      </c>
      <c r="AA399" s="10">
        <f>100-(R$429-Tabell2[[#This Row],[Sysselsettingsvekst10-T]])*100/R$432</f>
        <v>28.048959536138128</v>
      </c>
      <c r="AB399" s="10">
        <f>100-(S$429-Tabell2[[#This Row],[Yrkesaktivandel-T]])*100/S$432</f>
        <v>31.886479636676299</v>
      </c>
      <c r="AC399" s="10">
        <f>100-(T$429-Tabell2[[#This Row],[Inntekt-T]])*100/T$432</f>
        <v>13.628790403198934</v>
      </c>
      <c r="AD39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25.985101349868291</v>
      </c>
    </row>
    <row r="400" spans="1:30" x14ac:dyDescent="0.25">
      <c r="A400" s="2" t="s">
        <v>347</v>
      </c>
      <c r="B400" s="2">
        <v>398</v>
      </c>
      <c r="C400">
        <f>'Rådata-K'!N399</f>
        <v>11</v>
      </c>
      <c r="D400" s="30">
        <f>'Rådata-K'!M399</f>
        <v>302.3125</v>
      </c>
      <c r="E400" s="32">
        <f>'Rådata-K'!O399</f>
        <v>3.5394309343310035</v>
      </c>
      <c r="F400" s="32">
        <f>'Rådata-K'!P399</f>
        <v>-0.10096905282900903</v>
      </c>
      <c r="G400" s="32">
        <f>'Rådata-K'!Q399</f>
        <v>8.1710709318497915E-2</v>
      </c>
      <c r="H400" s="32">
        <f>'Rådata-K'!R399</f>
        <v>0.23157162726008346</v>
      </c>
      <c r="I400" s="32">
        <f>'Rådata-K'!S399</f>
        <v>-9.076042518397387E-2</v>
      </c>
      <c r="J400" s="32">
        <f>'Rådata-K'!T399</f>
        <v>0.86282306163021871</v>
      </c>
      <c r="K400" s="67">
        <f>'Rådata-K'!L399</f>
        <v>376000</v>
      </c>
      <c r="L400" s="18">
        <f>Tabell2[[#This Row],[NIBR11]]</f>
        <v>11</v>
      </c>
      <c r="M400" s="32">
        <f>IF(Tabell2[[#This Row],[ReisetidOslo]]&lt;=D$427,D$427,IF(Tabell2[[#This Row],[ReisetidOslo]]&gt;=D$428,D$428,Tabell2[[#This Row],[ReisetidOslo]]))</f>
        <v>286.73125000000005</v>
      </c>
      <c r="N400" s="32">
        <f>IF(Tabell2[[#This Row],[Beftettotal]]&lt;=E$427,E$427,IF(Tabell2[[#This Row],[Beftettotal]]&gt;=E$428,E$428,Tabell2[[#This Row],[Beftettotal]]))</f>
        <v>3.5394309343310035</v>
      </c>
      <c r="O400" s="32">
        <f>IF(Tabell2[[#This Row],[Befvekst10]]&lt;=F$427,F$427,IF(Tabell2[[#This Row],[Befvekst10]]&gt;=F$428,F$428,Tabell2[[#This Row],[Befvekst10]]))</f>
        <v>-5.4526569027269343E-2</v>
      </c>
      <c r="P400" s="32">
        <f>IF(Tabell2[[#This Row],[Kvinneandel]]&lt;=G$427,G$427,IF(Tabell2[[#This Row],[Kvinneandel]]&gt;=G$428,G$428,Tabell2[[#This Row],[Kvinneandel]]))</f>
        <v>8.9916711250255951E-2</v>
      </c>
      <c r="Q400" s="32">
        <f>IF(Tabell2[[#This Row],[Eldreandel]]&lt;=H$427,H$427,IF(Tabell2[[#This Row],[Eldreandel]]&gt;=H$428,H$428,Tabell2[[#This Row],[Eldreandel]]))</f>
        <v>0.22303194152148736</v>
      </c>
      <c r="R400" s="32">
        <f>IF(Tabell2[[#This Row],[Sysselsettingsvekst10]]&lt;=I$427,I$427,IF(Tabell2[[#This Row],[Sysselsettingsvekst10]]&gt;=I$428,I$428,Tabell2[[#This Row],[Sysselsettingsvekst10]]))</f>
        <v>-9.076042518397387E-2</v>
      </c>
      <c r="S400" s="32">
        <f>IF(Tabell2[[#This Row],[Yrkesaktivandel]]&lt;=J$427,J$427,IF(Tabell2[[#This Row],[Yrkesaktivandel]]&gt;=J$428,J$428,Tabell2[[#This Row],[Yrkesaktivandel]]))</f>
        <v>0.86282306163021871</v>
      </c>
      <c r="T400" s="67">
        <f>IF(Tabell2[[#This Row],[Inntekt]]&lt;=K$427,K$427,IF(Tabell2[[#This Row],[Inntekt]]&gt;=K$428,K$428,Tabell2[[#This Row],[Inntekt]]))</f>
        <v>376000</v>
      </c>
      <c r="U400" s="10">
        <f>IF(Tabell2[[#This Row],[NIBR11-T]]&lt;=L$430,100,IF(Tabell2[[#This Row],[NIBR11-T]]&gt;=L$429,0,100*(L$429-Tabell2[[#This Row],[NIBR11-T]])/L$432))</f>
        <v>0</v>
      </c>
      <c r="V400" s="10">
        <f>(M$429-Tabell2[[#This Row],[ReisetidOslo-T]])*100/M$432</f>
        <v>0</v>
      </c>
      <c r="W400" s="10">
        <f>100-(N$429-Tabell2[[#This Row],[Beftettotal-T]])*100/N$432</f>
        <v>1.7097227356124449</v>
      </c>
      <c r="X400" s="10">
        <f>100-(O$429-Tabell2[[#This Row],[Befvekst10-T]])*100/O$432</f>
        <v>0</v>
      </c>
      <c r="Y400" s="10">
        <f>100-(P$429-Tabell2[[#This Row],[Kvinneandel-T]])*100/P$432</f>
        <v>0</v>
      </c>
      <c r="Z400" s="10">
        <f>(Q$429-Tabell2[[#This Row],[Eldreandel-T]])*100/Q$432</f>
        <v>0</v>
      </c>
      <c r="AA400" s="10">
        <f>100-(R$429-Tabell2[[#This Row],[Sysselsettingsvekst10-T]])*100/R$432</f>
        <v>5.6112311265667358</v>
      </c>
      <c r="AB400" s="10">
        <f>100-(S$429-Tabell2[[#This Row],[Yrkesaktivandel-T]])*100/S$432</f>
        <v>51.020258753063445</v>
      </c>
      <c r="AC400" s="10">
        <f>100-(T$429-Tabell2[[#This Row],[Inntekt-T]])*100/T$432</f>
        <v>18.738198378318344</v>
      </c>
      <c r="AD40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7.7079410993560975</v>
      </c>
    </row>
    <row r="401" spans="1:30" x14ac:dyDescent="0.25">
      <c r="A401" s="2" t="s">
        <v>348</v>
      </c>
      <c r="B401" s="2">
        <v>399</v>
      </c>
      <c r="C401">
        <f>'Rådata-K'!N400</f>
        <v>10</v>
      </c>
      <c r="D401" s="30">
        <f>'Rådata-K'!M400</f>
        <v>276.3125</v>
      </c>
      <c r="E401" s="32">
        <f>'Rådata-K'!O400</f>
        <v>1.2250215513050693</v>
      </c>
      <c r="F401" s="32">
        <f>'Rådata-K'!P400</f>
        <v>-1.098901098901095E-2</v>
      </c>
      <c r="G401" s="32">
        <f>'Rådata-K'!Q400</f>
        <v>9.841269841269841E-2</v>
      </c>
      <c r="H401" s="32">
        <f>'Rådata-K'!R400</f>
        <v>0.18624338624338624</v>
      </c>
      <c r="I401" s="32">
        <f>'Rådata-K'!S400</f>
        <v>7.623318385650224E-2</v>
      </c>
      <c r="J401" s="32">
        <f>'Rådata-K'!T400</f>
        <v>0.8358348968105066</v>
      </c>
      <c r="K401" s="67">
        <f>'Rådata-K'!L400</f>
        <v>363000</v>
      </c>
      <c r="L401" s="18">
        <f>Tabell2[[#This Row],[NIBR11]]</f>
        <v>10</v>
      </c>
      <c r="M401" s="32">
        <f>IF(Tabell2[[#This Row],[ReisetidOslo]]&lt;=D$427,D$427,IF(Tabell2[[#This Row],[ReisetidOslo]]&gt;=D$428,D$428,Tabell2[[#This Row],[ReisetidOslo]]))</f>
        <v>276.3125</v>
      </c>
      <c r="N401" s="32">
        <f>IF(Tabell2[[#This Row],[Beftettotal]]&lt;=E$427,E$427,IF(Tabell2[[#This Row],[Beftettotal]]&gt;=E$428,E$428,Tabell2[[#This Row],[Beftettotal]]))</f>
        <v>1.2454428893921135</v>
      </c>
      <c r="O401" s="32">
        <f>IF(Tabell2[[#This Row],[Befvekst10]]&lt;=F$427,F$427,IF(Tabell2[[#This Row],[Befvekst10]]&gt;=F$428,F$428,Tabell2[[#This Row],[Befvekst10]]))</f>
        <v>-1.098901098901095E-2</v>
      </c>
      <c r="P401" s="32">
        <f>IF(Tabell2[[#This Row],[Kvinneandel]]&lt;=G$427,G$427,IF(Tabell2[[#This Row],[Kvinneandel]]&gt;=G$428,G$428,Tabell2[[#This Row],[Kvinneandel]]))</f>
        <v>9.841269841269841E-2</v>
      </c>
      <c r="Q401" s="32">
        <f>IF(Tabell2[[#This Row],[Eldreandel]]&lt;=H$427,H$427,IF(Tabell2[[#This Row],[Eldreandel]]&gt;=H$428,H$428,Tabell2[[#This Row],[Eldreandel]]))</f>
        <v>0.18624338624338624</v>
      </c>
      <c r="R401" s="32">
        <f>IF(Tabell2[[#This Row],[Sysselsettingsvekst10]]&lt;=I$427,I$427,IF(Tabell2[[#This Row],[Sysselsettingsvekst10]]&gt;=I$428,I$428,Tabell2[[#This Row],[Sysselsettingsvekst10]]))</f>
        <v>7.623318385650224E-2</v>
      </c>
      <c r="S401" s="32">
        <f>IF(Tabell2[[#This Row],[Yrkesaktivandel]]&lt;=J$427,J$427,IF(Tabell2[[#This Row],[Yrkesaktivandel]]&gt;=J$428,J$428,Tabell2[[#This Row],[Yrkesaktivandel]]))</f>
        <v>0.8358348968105066</v>
      </c>
      <c r="T401" s="67">
        <f>IF(Tabell2[[#This Row],[Inntekt]]&lt;=K$427,K$427,IF(Tabell2[[#This Row],[Inntekt]]&gt;=K$428,K$428,Tabell2[[#This Row],[Inntekt]]))</f>
        <v>363000</v>
      </c>
      <c r="U401" s="10">
        <f>IF(Tabell2[[#This Row],[NIBR11-T]]&lt;=L$430,100,IF(Tabell2[[#This Row],[NIBR11-T]]&gt;=L$429,0,100*(L$429-Tabell2[[#This Row],[NIBR11-T]])/L$432))</f>
        <v>10</v>
      </c>
      <c r="V401" s="10">
        <f>(M$429-Tabell2[[#This Row],[ReisetidOslo-T]])*100/M$432</f>
        <v>4.4887394437544579</v>
      </c>
      <c r="W401" s="10">
        <f>100-(N$429-Tabell2[[#This Row],[Beftettotal-T]])*100/N$432</f>
        <v>0</v>
      </c>
      <c r="X401" s="10">
        <f>100-(O$429-Tabell2[[#This Row],[Befvekst10-T]])*100/O$432</f>
        <v>18.754883078988897</v>
      </c>
      <c r="Y401" s="10">
        <f>100-(P$429-Tabell2[[#This Row],[Kvinneandel-T]])*100/P$432</f>
        <v>22.440478018280075</v>
      </c>
      <c r="Z401" s="10">
        <f>(Q$429-Tabell2[[#This Row],[Eldreandel-T]])*100/Q$432</f>
        <v>39.680587111476399</v>
      </c>
      <c r="AA401" s="10">
        <f>100-(R$429-Tabell2[[#This Row],[Sysselsettingsvekst10-T]])*100/R$432</f>
        <v>64.032965997544665</v>
      </c>
      <c r="AB401" s="10">
        <f>100-(S$429-Tabell2[[#This Row],[Yrkesaktivandel-T]])*100/S$432</f>
        <v>30.087054422748807</v>
      </c>
      <c r="AC401" s="10">
        <f>100-(T$429-Tabell2[[#This Row],[Inntekt-T]])*100/T$432</f>
        <v>4.2985671442852436</v>
      </c>
      <c r="AD40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19.147762573118921</v>
      </c>
    </row>
    <row r="402" spans="1:30" x14ac:dyDescent="0.25">
      <c r="A402" s="2" t="s">
        <v>349</v>
      </c>
      <c r="B402" s="2">
        <v>400</v>
      </c>
      <c r="C402">
        <f>'Rådata-K'!N401</f>
        <v>11</v>
      </c>
      <c r="D402" s="30">
        <f>'Rådata-K'!M401</f>
        <v>308</v>
      </c>
      <c r="E402" s="32">
        <f>'Rådata-K'!O401</f>
        <v>2.1509715692407028</v>
      </c>
      <c r="F402" s="32">
        <f>'Rådata-K'!P401</f>
        <v>-3.9639639639639679E-2</v>
      </c>
      <c r="G402" s="32">
        <f>'Rådata-K'!Q401</f>
        <v>9.662288930581614E-2</v>
      </c>
      <c r="H402" s="32">
        <f>'Rådata-K'!R401</f>
        <v>0.22607879924953095</v>
      </c>
      <c r="I402" s="32">
        <f>'Rådata-K'!S401</f>
        <v>5.2112676056337959E-2</v>
      </c>
      <c r="J402" s="32">
        <f>'Rådata-K'!T401</f>
        <v>0.83945345858240816</v>
      </c>
      <c r="K402" s="67">
        <f>'Rådata-K'!L401</f>
        <v>334100</v>
      </c>
      <c r="L402" s="18">
        <f>Tabell2[[#This Row],[NIBR11]]</f>
        <v>11</v>
      </c>
      <c r="M402" s="32">
        <f>IF(Tabell2[[#This Row],[ReisetidOslo]]&lt;=D$427,D$427,IF(Tabell2[[#This Row],[ReisetidOslo]]&gt;=D$428,D$428,Tabell2[[#This Row],[ReisetidOslo]]))</f>
        <v>286.73125000000005</v>
      </c>
      <c r="N402" s="32">
        <f>IF(Tabell2[[#This Row],[Beftettotal]]&lt;=E$427,E$427,IF(Tabell2[[#This Row],[Beftettotal]]&gt;=E$428,E$428,Tabell2[[#This Row],[Beftettotal]]))</f>
        <v>2.1509715692407028</v>
      </c>
      <c r="O402" s="32">
        <f>IF(Tabell2[[#This Row],[Befvekst10]]&lt;=F$427,F$427,IF(Tabell2[[#This Row],[Befvekst10]]&gt;=F$428,F$428,Tabell2[[#This Row],[Befvekst10]]))</f>
        <v>-3.9639639639639679E-2</v>
      </c>
      <c r="P402" s="32">
        <f>IF(Tabell2[[#This Row],[Kvinneandel]]&lt;=G$427,G$427,IF(Tabell2[[#This Row],[Kvinneandel]]&gt;=G$428,G$428,Tabell2[[#This Row],[Kvinneandel]]))</f>
        <v>9.662288930581614E-2</v>
      </c>
      <c r="Q402" s="32">
        <f>IF(Tabell2[[#This Row],[Eldreandel]]&lt;=H$427,H$427,IF(Tabell2[[#This Row],[Eldreandel]]&gt;=H$428,H$428,Tabell2[[#This Row],[Eldreandel]]))</f>
        <v>0.22303194152148736</v>
      </c>
      <c r="R402" s="32">
        <f>IF(Tabell2[[#This Row],[Sysselsettingsvekst10]]&lt;=I$427,I$427,IF(Tabell2[[#This Row],[Sysselsettingsvekst10]]&gt;=I$428,I$428,Tabell2[[#This Row],[Sysselsettingsvekst10]]))</f>
        <v>5.2112676056337959E-2</v>
      </c>
      <c r="S402" s="32">
        <f>IF(Tabell2[[#This Row],[Yrkesaktivandel]]&lt;=J$427,J$427,IF(Tabell2[[#This Row],[Yrkesaktivandel]]&gt;=J$428,J$428,Tabell2[[#This Row],[Yrkesaktivandel]]))</f>
        <v>0.83945345858240816</v>
      </c>
      <c r="T402" s="67">
        <f>IF(Tabell2[[#This Row],[Inntekt]]&lt;=K$427,K$427,IF(Tabell2[[#This Row],[Inntekt]]&gt;=K$428,K$428,Tabell2[[#This Row],[Inntekt]]))</f>
        <v>359130</v>
      </c>
      <c r="U402" s="10">
        <f>IF(Tabell2[[#This Row],[NIBR11-T]]&lt;=L$430,100,IF(Tabell2[[#This Row],[NIBR11-T]]&gt;=L$429,0,100*(L$429-Tabell2[[#This Row],[NIBR11-T]])/L$432))</f>
        <v>0</v>
      </c>
      <c r="V402" s="10">
        <f>(M$429-Tabell2[[#This Row],[ReisetidOslo-T]])*100/M$432</f>
        <v>0</v>
      </c>
      <c r="W402" s="10">
        <f>100-(N$429-Tabell2[[#This Row],[Beftettotal-T]])*100/N$432</f>
        <v>0.67489583265351882</v>
      </c>
      <c r="X402" s="10">
        <f>100-(O$429-Tabell2[[#This Row],[Befvekst10-T]])*100/O$432</f>
        <v>6.4129141056742469</v>
      </c>
      <c r="Y402" s="10">
        <f>100-(P$429-Tabell2[[#This Row],[Kvinneandel-T]])*100/P$432</f>
        <v>17.71304950974141</v>
      </c>
      <c r="Z402" s="10">
        <f>(Q$429-Tabell2[[#This Row],[Eldreandel-T]])*100/Q$432</f>
        <v>0</v>
      </c>
      <c r="AA402" s="10">
        <f>100-(R$429-Tabell2[[#This Row],[Sysselsettingsvekst10-T]])*100/R$432</f>
        <v>55.594547786504037</v>
      </c>
      <c r="AB402" s="10">
        <f>100-(S$429-Tabell2[[#This Row],[Yrkesaktivandel-T]])*100/S$432</f>
        <v>32.893769642516347</v>
      </c>
      <c r="AC402" s="10">
        <f>100-(T$429-Tabell2[[#This Row],[Inntekt-T]])*100/T$432</f>
        <v>0</v>
      </c>
      <c r="AD40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11.084556622789311</v>
      </c>
    </row>
    <row r="403" spans="1:30" x14ac:dyDescent="0.25">
      <c r="A403" s="2" t="s">
        <v>350</v>
      </c>
      <c r="B403" s="2">
        <v>401</v>
      </c>
      <c r="C403">
        <f>'Rådata-K'!N402</f>
        <v>9</v>
      </c>
      <c r="D403" s="30">
        <f>'Rådata-K'!M402</f>
        <v>306.25</v>
      </c>
      <c r="E403" s="32">
        <f>'Rådata-K'!O402</f>
        <v>6.1473506438674264</v>
      </c>
      <c r="F403" s="32">
        <f>'Rådata-K'!P402</f>
        <v>-1.8206338503034436E-2</v>
      </c>
      <c r="G403" s="32">
        <f>'Rådata-K'!Q402</f>
        <v>0.11813186813186813</v>
      </c>
      <c r="H403" s="32">
        <f>'Rådata-K'!R402</f>
        <v>0.19402472527472528</v>
      </c>
      <c r="I403" s="32">
        <f>'Rådata-K'!S402</f>
        <v>4.6683046683046792E-2</v>
      </c>
      <c r="J403" s="32">
        <f>'Rådata-K'!T402</f>
        <v>0.8381361128142244</v>
      </c>
      <c r="K403" s="67">
        <f>'Rådata-K'!L402</f>
        <v>376500</v>
      </c>
      <c r="L403" s="18">
        <f>Tabell2[[#This Row],[NIBR11]]</f>
        <v>9</v>
      </c>
      <c r="M403" s="32">
        <f>IF(Tabell2[[#This Row],[ReisetidOslo]]&lt;=D$427,D$427,IF(Tabell2[[#This Row],[ReisetidOslo]]&gt;=D$428,D$428,Tabell2[[#This Row],[ReisetidOslo]]))</f>
        <v>286.73125000000005</v>
      </c>
      <c r="N403" s="32">
        <f>IF(Tabell2[[#This Row],[Beftettotal]]&lt;=E$427,E$427,IF(Tabell2[[#This Row],[Beftettotal]]&gt;=E$428,E$428,Tabell2[[#This Row],[Beftettotal]]))</f>
        <v>6.1473506438674264</v>
      </c>
      <c r="O403" s="32">
        <f>IF(Tabell2[[#This Row],[Befvekst10]]&lt;=F$427,F$427,IF(Tabell2[[#This Row],[Befvekst10]]&gt;=F$428,F$428,Tabell2[[#This Row],[Befvekst10]]))</f>
        <v>-1.8206338503034436E-2</v>
      </c>
      <c r="P403" s="32">
        <f>IF(Tabell2[[#This Row],[Kvinneandel]]&lt;=G$427,G$427,IF(Tabell2[[#This Row],[Kvinneandel]]&gt;=G$428,G$428,Tabell2[[#This Row],[Kvinneandel]]))</f>
        <v>0.11813186813186813</v>
      </c>
      <c r="Q403" s="32">
        <f>IF(Tabell2[[#This Row],[Eldreandel]]&lt;=H$427,H$427,IF(Tabell2[[#This Row],[Eldreandel]]&gt;=H$428,H$428,Tabell2[[#This Row],[Eldreandel]]))</f>
        <v>0.19402472527472528</v>
      </c>
      <c r="R403" s="32">
        <f>IF(Tabell2[[#This Row],[Sysselsettingsvekst10]]&lt;=I$427,I$427,IF(Tabell2[[#This Row],[Sysselsettingsvekst10]]&gt;=I$428,I$428,Tabell2[[#This Row],[Sysselsettingsvekst10]]))</f>
        <v>4.6683046683046792E-2</v>
      </c>
      <c r="S403" s="32">
        <f>IF(Tabell2[[#This Row],[Yrkesaktivandel]]&lt;=J$427,J$427,IF(Tabell2[[#This Row],[Yrkesaktivandel]]&gt;=J$428,J$428,Tabell2[[#This Row],[Yrkesaktivandel]]))</f>
        <v>0.8381361128142244</v>
      </c>
      <c r="T403" s="67">
        <f>IF(Tabell2[[#This Row],[Inntekt]]&lt;=K$427,K$427,IF(Tabell2[[#This Row],[Inntekt]]&gt;=K$428,K$428,Tabell2[[#This Row],[Inntekt]]))</f>
        <v>376500</v>
      </c>
      <c r="U403" s="10">
        <f>IF(Tabell2[[#This Row],[NIBR11-T]]&lt;=L$430,100,IF(Tabell2[[#This Row],[NIBR11-T]]&gt;=L$429,0,100*(L$429-Tabell2[[#This Row],[NIBR11-T]])/L$432))</f>
        <v>20</v>
      </c>
      <c r="V403" s="10">
        <f>(M$429-Tabell2[[#This Row],[ReisetidOslo-T]])*100/M$432</f>
        <v>0</v>
      </c>
      <c r="W403" s="10">
        <f>100-(N$429-Tabell2[[#This Row],[Beftettotal-T]])*100/N$432</f>
        <v>3.6534205808926146</v>
      </c>
      <c r="X403" s="10">
        <f>100-(O$429-Tabell2[[#This Row],[Befvekst10-T]])*100/O$432</f>
        <v>15.645840225704987</v>
      </c>
      <c r="Y403" s="10">
        <f>100-(P$429-Tabell2[[#This Row],[Kvinneandel-T]])*100/P$432</f>
        <v>74.524783957196831</v>
      </c>
      <c r="Z403" s="10">
        <f>(Q$429-Tabell2[[#This Row],[Eldreandel-T]])*100/Q$432</f>
        <v>31.287539356736801</v>
      </c>
      <c r="AA403" s="10">
        <f>100-(R$429-Tabell2[[#This Row],[Sysselsettingsvekst10-T]])*100/R$432</f>
        <v>53.69502378964733</v>
      </c>
      <c r="AB403" s="10">
        <f>100-(S$429-Tabell2[[#This Row],[Yrkesaktivandel-T]])*100/S$432</f>
        <v>31.871978486160117</v>
      </c>
      <c r="AC403" s="10">
        <f>100-(T$429-Tabell2[[#This Row],[Inntekt-T]])*100/T$432</f>
        <v>19.293568810396536</v>
      </c>
      <c r="AD40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23.271183377547338</v>
      </c>
    </row>
    <row r="404" spans="1:30" x14ac:dyDescent="0.25">
      <c r="A404" s="2" t="s">
        <v>351</v>
      </c>
      <c r="B404" s="2">
        <v>402</v>
      </c>
      <c r="C404">
        <f>'Rådata-K'!N403</f>
        <v>9</v>
      </c>
      <c r="D404" s="30">
        <f>'Rådata-K'!M403</f>
        <v>274.4375</v>
      </c>
      <c r="E404" s="32">
        <f>'Rådata-K'!O403</f>
        <v>1.4309984698003759</v>
      </c>
      <c r="F404" s="32">
        <f>'Rådata-K'!P403</f>
        <v>4.681847201532241E-2</v>
      </c>
      <c r="G404" s="32">
        <f>'Rådata-K'!Q403</f>
        <v>0.11120146371213661</v>
      </c>
      <c r="H404" s="32">
        <f>'Rådata-K'!R403</f>
        <v>0.1738158162228095</v>
      </c>
      <c r="I404" s="32">
        <f>'Rådata-K'!S403</f>
        <v>-2.8345724907063219E-2</v>
      </c>
      <c r="J404" s="32">
        <f>'Rådata-K'!T403</f>
        <v>0.82865475756471019</v>
      </c>
      <c r="K404" s="67">
        <f>'Rådata-K'!L403</f>
        <v>376200</v>
      </c>
      <c r="L404" s="18">
        <f>Tabell2[[#This Row],[NIBR11]]</f>
        <v>9</v>
      </c>
      <c r="M404" s="32">
        <f>IF(Tabell2[[#This Row],[ReisetidOslo]]&lt;=D$427,D$427,IF(Tabell2[[#This Row],[ReisetidOslo]]&gt;=D$428,D$428,Tabell2[[#This Row],[ReisetidOslo]]))</f>
        <v>274.4375</v>
      </c>
      <c r="N404" s="32">
        <f>IF(Tabell2[[#This Row],[Beftettotal]]&lt;=E$427,E$427,IF(Tabell2[[#This Row],[Beftettotal]]&gt;=E$428,E$428,Tabell2[[#This Row],[Beftettotal]]))</f>
        <v>1.4309984698003759</v>
      </c>
      <c r="O404" s="32">
        <f>IF(Tabell2[[#This Row],[Befvekst10]]&lt;=F$427,F$427,IF(Tabell2[[#This Row],[Befvekst10]]&gt;=F$428,F$428,Tabell2[[#This Row],[Befvekst10]]))</f>
        <v>4.681847201532241E-2</v>
      </c>
      <c r="P404" s="32">
        <f>IF(Tabell2[[#This Row],[Kvinneandel]]&lt;=G$427,G$427,IF(Tabell2[[#This Row],[Kvinneandel]]&gt;=G$428,G$428,Tabell2[[#This Row],[Kvinneandel]]))</f>
        <v>0.11120146371213661</v>
      </c>
      <c r="Q404" s="32">
        <f>IF(Tabell2[[#This Row],[Eldreandel]]&lt;=H$427,H$427,IF(Tabell2[[#This Row],[Eldreandel]]&gt;=H$428,H$428,Tabell2[[#This Row],[Eldreandel]]))</f>
        <v>0.1738158162228095</v>
      </c>
      <c r="R404" s="32">
        <f>IF(Tabell2[[#This Row],[Sysselsettingsvekst10]]&lt;=I$427,I$427,IF(Tabell2[[#This Row],[Sysselsettingsvekst10]]&gt;=I$428,I$428,Tabell2[[#This Row],[Sysselsettingsvekst10]]))</f>
        <v>-2.8345724907063219E-2</v>
      </c>
      <c r="S404" s="32">
        <f>IF(Tabell2[[#This Row],[Yrkesaktivandel]]&lt;=J$427,J$427,IF(Tabell2[[#This Row],[Yrkesaktivandel]]&gt;=J$428,J$428,Tabell2[[#This Row],[Yrkesaktivandel]]))</f>
        <v>0.82865475756471019</v>
      </c>
      <c r="T404" s="67">
        <f>IF(Tabell2[[#This Row],[Inntekt]]&lt;=K$427,K$427,IF(Tabell2[[#This Row],[Inntekt]]&gt;=K$428,K$428,Tabell2[[#This Row],[Inntekt]]))</f>
        <v>376200</v>
      </c>
      <c r="U404" s="10">
        <f>IF(Tabell2[[#This Row],[NIBR11-T]]&lt;=L$430,100,IF(Tabell2[[#This Row],[NIBR11-T]]&gt;=L$429,0,100*(L$429-Tabell2[[#This Row],[NIBR11-T]])/L$432))</f>
        <v>20</v>
      </c>
      <c r="V404" s="10">
        <f>(M$429-Tabell2[[#This Row],[ReisetidOslo-T]])*100/M$432</f>
        <v>5.2965509813227429</v>
      </c>
      <c r="W404" s="10">
        <f>100-(N$429-Tabell2[[#This Row],[Beftettotal-T]])*100/N$432</f>
        <v>0.13829566167257212</v>
      </c>
      <c r="X404" s="10">
        <f>100-(O$429-Tabell2[[#This Row],[Befvekst10-T]])*100/O$432</f>
        <v>43.656890304203472</v>
      </c>
      <c r="Y404" s="10">
        <f>100-(P$429-Tabell2[[#This Row],[Kvinneandel-T]])*100/P$432</f>
        <v>56.219484635856254</v>
      </c>
      <c r="Z404" s="10">
        <f>(Q$429-Tabell2[[#This Row],[Eldreandel-T]])*100/Q$432</f>
        <v>53.085116619570769</v>
      </c>
      <c r="AA404" s="10">
        <f>100-(R$429-Tabell2[[#This Row],[Sysselsettingsvekst10-T]])*100/R$432</f>
        <v>27.446648018152175</v>
      </c>
      <c r="AB404" s="10">
        <f>100-(S$429-Tabell2[[#This Row],[Yrkesaktivandel-T]])*100/S$432</f>
        <v>24.517823504069</v>
      </c>
      <c r="AC404" s="10">
        <f>100-(T$429-Tabell2[[#This Row],[Inntekt-T]])*100/T$432</f>
        <v>18.960346551149613</v>
      </c>
      <c r="AD40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25.832574595248659</v>
      </c>
    </row>
    <row r="405" spans="1:30" x14ac:dyDescent="0.25">
      <c r="A405" s="2" t="s">
        <v>352</v>
      </c>
      <c r="B405" s="2">
        <v>403</v>
      </c>
      <c r="C405">
        <f>'Rådata-K'!N404</f>
        <v>11</v>
      </c>
      <c r="D405" s="30">
        <f>'Rådata-K'!M404</f>
        <v>292.375</v>
      </c>
      <c r="E405" s="32">
        <f>'Rådata-K'!O404</f>
        <v>0.58450423801126339</v>
      </c>
      <c r="F405" s="32">
        <f>'Rådata-K'!P404</f>
        <v>-8.7342709104367144E-2</v>
      </c>
      <c r="G405" s="32">
        <f>'Rådata-K'!Q404</f>
        <v>9.2457420924574207E-2</v>
      </c>
      <c r="H405" s="32">
        <f>'Rådata-K'!R404</f>
        <v>0.23276561232765614</v>
      </c>
      <c r="I405" s="32">
        <f>'Rådata-K'!S404</f>
        <v>-0.16044776119402981</v>
      </c>
      <c r="J405" s="32">
        <f>'Rådata-K'!T404</f>
        <v>0.81859756097560976</v>
      </c>
      <c r="K405" s="67">
        <f>'Rådata-K'!L404</f>
        <v>368900</v>
      </c>
      <c r="L405" s="18">
        <f>Tabell2[[#This Row],[NIBR11]]</f>
        <v>11</v>
      </c>
      <c r="M405" s="32">
        <f>IF(Tabell2[[#This Row],[ReisetidOslo]]&lt;=D$427,D$427,IF(Tabell2[[#This Row],[ReisetidOslo]]&gt;=D$428,D$428,Tabell2[[#This Row],[ReisetidOslo]]))</f>
        <v>286.73125000000005</v>
      </c>
      <c r="N405" s="32">
        <f>IF(Tabell2[[#This Row],[Beftettotal]]&lt;=E$427,E$427,IF(Tabell2[[#This Row],[Beftettotal]]&gt;=E$428,E$428,Tabell2[[#This Row],[Beftettotal]]))</f>
        <v>1.2454428893921135</v>
      </c>
      <c r="O405" s="32">
        <f>IF(Tabell2[[#This Row],[Befvekst10]]&lt;=F$427,F$427,IF(Tabell2[[#This Row],[Befvekst10]]&gt;=F$428,F$428,Tabell2[[#This Row],[Befvekst10]]))</f>
        <v>-5.4526569027269343E-2</v>
      </c>
      <c r="P405" s="32">
        <f>IF(Tabell2[[#This Row],[Kvinneandel]]&lt;=G$427,G$427,IF(Tabell2[[#This Row],[Kvinneandel]]&gt;=G$428,G$428,Tabell2[[#This Row],[Kvinneandel]]))</f>
        <v>9.2457420924574207E-2</v>
      </c>
      <c r="Q405" s="32">
        <f>IF(Tabell2[[#This Row],[Eldreandel]]&lt;=H$427,H$427,IF(Tabell2[[#This Row],[Eldreandel]]&gt;=H$428,H$428,Tabell2[[#This Row],[Eldreandel]]))</f>
        <v>0.22303194152148736</v>
      </c>
      <c r="R405" s="32">
        <f>IF(Tabell2[[#This Row],[Sysselsettingsvekst10]]&lt;=I$427,I$427,IF(Tabell2[[#This Row],[Sysselsettingsvekst10]]&gt;=I$428,I$428,Tabell2[[#This Row],[Sysselsettingsvekst10]]))</f>
        <v>-0.10679965679965678</v>
      </c>
      <c r="S405" s="32">
        <f>IF(Tabell2[[#This Row],[Yrkesaktivandel]]&lt;=J$427,J$427,IF(Tabell2[[#This Row],[Yrkesaktivandel]]&gt;=J$428,J$428,Tabell2[[#This Row],[Yrkesaktivandel]]))</f>
        <v>0.81859756097560976</v>
      </c>
      <c r="T405" s="67">
        <f>IF(Tabell2[[#This Row],[Inntekt]]&lt;=K$427,K$427,IF(Tabell2[[#This Row],[Inntekt]]&gt;=K$428,K$428,Tabell2[[#This Row],[Inntekt]]))</f>
        <v>368900</v>
      </c>
      <c r="U405" s="10">
        <f>IF(Tabell2[[#This Row],[NIBR11-T]]&lt;=L$430,100,IF(Tabell2[[#This Row],[NIBR11-T]]&gt;=L$429,0,100*(L$429-Tabell2[[#This Row],[NIBR11-T]])/L$432))</f>
        <v>0</v>
      </c>
      <c r="V405" s="10">
        <f>(M$429-Tabell2[[#This Row],[ReisetidOslo-T]])*100/M$432</f>
        <v>0</v>
      </c>
      <c r="W405" s="10">
        <f>100-(N$429-Tabell2[[#This Row],[Beftettotal-T]])*100/N$432</f>
        <v>0</v>
      </c>
      <c r="X405" s="10">
        <f>100-(O$429-Tabell2[[#This Row],[Befvekst10-T]])*100/O$432</f>
        <v>0</v>
      </c>
      <c r="Y405" s="10">
        <f>100-(P$429-Tabell2[[#This Row],[Kvinneandel-T]])*100/P$432</f>
        <v>6.710784574794431</v>
      </c>
      <c r="Z405" s="10">
        <f>(Q$429-Tabell2[[#This Row],[Eldreandel-T]])*100/Q$432</f>
        <v>0</v>
      </c>
      <c r="AA405" s="10">
        <f>100-(R$429-Tabell2[[#This Row],[Sysselsettingsvekst10-T]])*100/R$432</f>
        <v>0</v>
      </c>
      <c r="AB405" s="10">
        <f>100-(S$429-Tabell2[[#This Row],[Yrkesaktivandel-T]])*100/S$432</f>
        <v>16.717020722695281</v>
      </c>
      <c r="AC405" s="10">
        <f>100-(T$429-Tabell2[[#This Row],[Inntekt-T]])*100/T$432</f>
        <v>10.851938242807947</v>
      </c>
      <c r="AD40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3.0924351252900442</v>
      </c>
    </row>
    <row r="406" spans="1:30" x14ac:dyDescent="0.25">
      <c r="A406" s="2" t="s">
        <v>353</v>
      </c>
      <c r="B406" s="2">
        <v>404</v>
      </c>
      <c r="C406">
        <f>'Rådata-K'!N405</f>
        <v>11</v>
      </c>
      <c r="D406" s="30">
        <f>'Rådata-K'!M405</f>
        <v>302.125</v>
      </c>
      <c r="E406" s="32">
        <f>'Rådata-K'!O405</f>
        <v>3.5031051764039893</v>
      </c>
      <c r="F406" s="32">
        <f>'Rådata-K'!P405</f>
        <v>-7.9615048118985121E-2</v>
      </c>
      <c r="G406" s="32">
        <f>'Rådata-K'!Q405</f>
        <v>0.10028517110266159</v>
      </c>
      <c r="H406" s="32">
        <f>'Rådata-K'!R405</f>
        <v>0.1943916349809886</v>
      </c>
      <c r="I406" s="32">
        <f>'Rådata-K'!S405</f>
        <v>-1.5037593984962405E-2</v>
      </c>
      <c r="J406" s="32">
        <f>'Rådata-K'!T405</f>
        <v>0.74551131928181114</v>
      </c>
      <c r="K406" s="67">
        <f>'Rådata-K'!L405</f>
        <v>359400</v>
      </c>
      <c r="L406" s="18">
        <f>Tabell2[[#This Row],[NIBR11]]</f>
        <v>11</v>
      </c>
      <c r="M406" s="32">
        <f>IF(Tabell2[[#This Row],[ReisetidOslo]]&lt;=D$427,D$427,IF(Tabell2[[#This Row],[ReisetidOslo]]&gt;=D$428,D$428,Tabell2[[#This Row],[ReisetidOslo]]))</f>
        <v>286.73125000000005</v>
      </c>
      <c r="N406" s="32">
        <f>IF(Tabell2[[#This Row],[Beftettotal]]&lt;=E$427,E$427,IF(Tabell2[[#This Row],[Beftettotal]]&gt;=E$428,E$428,Tabell2[[#This Row],[Beftettotal]]))</f>
        <v>3.5031051764039893</v>
      </c>
      <c r="O406" s="32">
        <f>IF(Tabell2[[#This Row],[Befvekst10]]&lt;=F$427,F$427,IF(Tabell2[[#This Row],[Befvekst10]]&gt;=F$428,F$428,Tabell2[[#This Row],[Befvekst10]]))</f>
        <v>-5.4526569027269343E-2</v>
      </c>
      <c r="P406" s="32">
        <f>IF(Tabell2[[#This Row],[Kvinneandel]]&lt;=G$427,G$427,IF(Tabell2[[#This Row],[Kvinneandel]]&gt;=G$428,G$428,Tabell2[[#This Row],[Kvinneandel]]))</f>
        <v>0.10028517110266159</v>
      </c>
      <c r="Q406" s="32">
        <f>IF(Tabell2[[#This Row],[Eldreandel]]&lt;=H$427,H$427,IF(Tabell2[[#This Row],[Eldreandel]]&gt;=H$428,H$428,Tabell2[[#This Row],[Eldreandel]]))</f>
        <v>0.1943916349809886</v>
      </c>
      <c r="R406" s="32">
        <f>IF(Tabell2[[#This Row],[Sysselsettingsvekst10]]&lt;=I$427,I$427,IF(Tabell2[[#This Row],[Sysselsettingsvekst10]]&gt;=I$428,I$428,Tabell2[[#This Row],[Sysselsettingsvekst10]]))</f>
        <v>-1.5037593984962405E-2</v>
      </c>
      <c r="S406" s="32">
        <f>IF(Tabell2[[#This Row],[Yrkesaktivandel]]&lt;=J$427,J$427,IF(Tabell2[[#This Row],[Yrkesaktivandel]]&gt;=J$428,J$428,Tabell2[[#This Row],[Yrkesaktivandel]]))</f>
        <v>0.7970451171433347</v>
      </c>
      <c r="T406" s="67">
        <f>IF(Tabell2[[#This Row],[Inntekt]]&lt;=K$427,K$427,IF(Tabell2[[#This Row],[Inntekt]]&gt;=K$428,K$428,Tabell2[[#This Row],[Inntekt]]))</f>
        <v>359400</v>
      </c>
      <c r="U406" s="10">
        <f>IF(Tabell2[[#This Row],[NIBR11-T]]&lt;=L$430,100,IF(Tabell2[[#This Row],[NIBR11-T]]&gt;=L$429,0,100*(L$429-Tabell2[[#This Row],[NIBR11-T]])/L$432))</f>
        <v>0</v>
      </c>
      <c r="V406" s="10">
        <f>(M$429-Tabell2[[#This Row],[ReisetidOslo-T]])*100/M$432</f>
        <v>0</v>
      </c>
      <c r="W406" s="10">
        <f>100-(N$429-Tabell2[[#This Row],[Beftettotal-T]])*100/N$432</f>
        <v>1.6826489353137788</v>
      </c>
      <c r="X406" s="10">
        <f>100-(O$429-Tabell2[[#This Row],[Befvekst10-T]])*100/O$432</f>
        <v>0</v>
      </c>
      <c r="Y406" s="10">
        <f>100-(P$429-Tabell2[[#This Row],[Kvinneandel-T]])*100/P$432</f>
        <v>27.386246112739954</v>
      </c>
      <c r="Z406" s="10">
        <f>(Q$429-Tabell2[[#This Row],[Eldreandel-T]])*100/Q$432</f>
        <v>30.891786045649464</v>
      </c>
      <c r="AA406" s="10">
        <f>100-(R$429-Tabell2[[#This Row],[Sysselsettingsvekst10-T]])*100/R$432</f>
        <v>32.102419582265085</v>
      </c>
      <c r="AB406" s="10">
        <f>100-(S$429-Tabell2[[#This Row],[Yrkesaktivandel-T]])*100/S$432</f>
        <v>0</v>
      </c>
      <c r="AC406" s="10">
        <f>100-(T$429-Tabell2[[#This Row],[Inntekt-T]])*100/T$432</f>
        <v>0.29990003332223125</v>
      </c>
      <c r="AD40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6.3223984630095806</v>
      </c>
    </row>
    <row r="407" spans="1:30" x14ac:dyDescent="0.25">
      <c r="A407" s="2" t="s">
        <v>354</v>
      </c>
      <c r="B407" s="2">
        <v>405</v>
      </c>
      <c r="C407">
        <f>'Rådata-K'!N406</f>
        <v>7</v>
      </c>
      <c r="D407" s="30">
        <f>'Rådata-K'!M406</f>
        <v>316.25</v>
      </c>
      <c r="E407" s="32">
        <f>'Rådata-K'!O406</f>
        <v>4.8925141512434012</v>
      </c>
      <c r="F407" s="32">
        <f>'Rådata-K'!P406</f>
        <v>4.8987589810580712E-3</v>
      </c>
      <c r="G407" s="32">
        <f>'Rådata-K'!Q406</f>
        <v>0.11098472538186545</v>
      </c>
      <c r="H407" s="32">
        <f>'Rådata-K'!R406</f>
        <v>0.15144621384465387</v>
      </c>
      <c r="I407" s="32">
        <f>'Rådata-K'!S406</f>
        <v>-4.6592709984152103E-2</v>
      </c>
      <c r="J407" s="32">
        <f>'Rådata-K'!T406</f>
        <v>0.82760563380281693</v>
      </c>
      <c r="K407" s="67">
        <f>'Rådata-K'!L406</f>
        <v>381300</v>
      </c>
      <c r="L407" s="18">
        <f>Tabell2[[#This Row],[NIBR11]]</f>
        <v>7</v>
      </c>
      <c r="M407" s="32">
        <f>IF(Tabell2[[#This Row],[ReisetidOslo]]&lt;=D$427,D$427,IF(Tabell2[[#This Row],[ReisetidOslo]]&gt;=D$428,D$428,Tabell2[[#This Row],[ReisetidOslo]]))</f>
        <v>286.73125000000005</v>
      </c>
      <c r="N407" s="32">
        <f>IF(Tabell2[[#This Row],[Beftettotal]]&lt;=E$427,E$427,IF(Tabell2[[#This Row],[Beftettotal]]&gt;=E$428,E$428,Tabell2[[#This Row],[Beftettotal]]))</f>
        <v>4.8925141512434012</v>
      </c>
      <c r="O407" s="32">
        <f>IF(Tabell2[[#This Row],[Befvekst10]]&lt;=F$427,F$427,IF(Tabell2[[#This Row],[Befvekst10]]&gt;=F$428,F$428,Tabell2[[#This Row],[Befvekst10]]))</f>
        <v>4.8987589810580712E-3</v>
      </c>
      <c r="P407" s="32">
        <f>IF(Tabell2[[#This Row],[Kvinneandel]]&lt;=G$427,G$427,IF(Tabell2[[#This Row],[Kvinneandel]]&gt;=G$428,G$428,Tabell2[[#This Row],[Kvinneandel]]))</f>
        <v>0.11098472538186545</v>
      </c>
      <c r="Q407" s="32">
        <f>IF(Tabell2[[#This Row],[Eldreandel]]&lt;=H$427,H$427,IF(Tabell2[[#This Row],[Eldreandel]]&gt;=H$428,H$428,Tabell2[[#This Row],[Eldreandel]]))</f>
        <v>0.15144621384465387</v>
      </c>
      <c r="R407" s="32">
        <f>IF(Tabell2[[#This Row],[Sysselsettingsvekst10]]&lt;=I$427,I$427,IF(Tabell2[[#This Row],[Sysselsettingsvekst10]]&gt;=I$428,I$428,Tabell2[[#This Row],[Sysselsettingsvekst10]]))</f>
        <v>-4.6592709984152103E-2</v>
      </c>
      <c r="S407" s="32">
        <f>IF(Tabell2[[#This Row],[Yrkesaktivandel]]&lt;=J$427,J$427,IF(Tabell2[[#This Row],[Yrkesaktivandel]]&gt;=J$428,J$428,Tabell2[[#This Row],[Yrkesaktivandel]]))</f>
        <v>0.82760563380281693</v>
      </c>
      <c r="T407" s="67">
        <f>IF(Tabell2[[#This Row],[Inntekt]]&lt;=K$427,K$427,IF(Tabell2[[#This Row],[Inntekt]]&gt;=K$428,K$428,Tabell2[[#This Row],[Inntekt]]))</f>
        <v>381300</v>
      </c>
      <c r="U407" s="10">
        <f>IF(Tabell2[[#This Row],[NIBR11-T]]&lt;=L$430,100,IF(Tabell2[[#This Row],[NIBR11-T]]&gt;=L$429,0,100*(L$429-Tabell2[[#This Row],[NIBR11-T]])/L$432))</f>
        <v>40</v>
      </c>
      <c r="V407" s="10">
        <f>(M$429-Tabell2[[#This Row],[ReisetidOslo-T]])*100/M$432</f>
        <v>0</v>
      </c>
      <c r="W407" s="10">
        <f>100-(N$429-Tabell2[[#This Row],[Beftettotal-T]])*100/N$432</f>
        <v>2.7181835879846545</v>
      </c>
      <c r="X407" s="10">
        <f>100-(O$429-Tabell2[[#This Row],[Befvekst10-T]])*100/O$432</f>
        <v>25.598934091511751</v>
      </c>
      <c r="Y407" s="10">
        <f>100-(P$429-Tabell2[[#This Row],[Kvinneandel-T]])*100/P$432</f>
        <v>55.647012992105488</v>
      </c>
      <c r="Z407" s="10">
        <f>(Q$429-Tabell2[[#This Row],[Eldreandel-T]])*100/Q$432</f>
        <v>77.213244215379703</v>
      </c>
      <c r="AA407" s="10">
        <f>100-(R$429-Tabell2[[#This Row],[Sysselsettingsvekst10-T]])*100/R$432</f>
        <v>21.063047289396167</v>
      </c>
      <c r="AB407" s="10">
        <f>100-(S$429-Tabell2[[#This Row],[Yrkesaktivandel-T]])*100/S$432</f>
        <v>23.704077099961552</v>
      </c>
      <c r="AC407" s="10">
        <f>100-(T$429-Tabell2[[#This Row],[Inntekt-T]])*100/T$432</f>
        <v>24.625124958347214</v>
      </c>
      <c r="AD40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26.973842972245571</v>
      </c>
    </row>
    <row r="408" spans="1:30" x14ac:dyDescent="0.25">
      <c r="A408" s="2" t="s">
        <v>355</v>
      </c>
      <c r="B408" s="2">
        <v>406</v>
      </c>
      <c r="C408">
        <f>'Rådata-K'!N407</f>
        <v>6</v>
      </c>
      <c r="D408" s="30">
        <f>'Rådata-K'!M407</f>
        <v>281.375</v>
      </c>
      <c r="E408" s="32">
        <f>'Rådata-K'!O407</f>
        <v>12.410987974534308</v>
      </c>
      <c r="F408" s="32">
        <f>'Rådata-K'!P407</f>
        <v>0.12096688318602911</v>
      </c>
      <c r="G408" s="32">
        <f>'Rådata-K'!Q407</f>
        <v>0.13726607770494917</v>
      </c>
      <c r="H408" s="32">
        <f>'Rådata-K'!R407</f>
        <v>0.1273867198632089</v>
      </c>
      <c r="I408" s="32">
        <f>'Rådata-K'!S407</f>
        <v>2.5929899856938388E-2</v>
      </c>
      <c r="J408" s="32">
        <f>'Rådata-K'!T407</f>
        <v>0.86785992217898833</v>
      </c>
      <c r="K408" s="67">
        <f>'Rådata-K'!L407</f>
        <v>436700</v>
      </c>
      <c r="L408" s="18">
        <f>Tabell2[[#This Row],[NIBR11]]</f>
        <v>6</v>
      </c>
      <c r="M408" s="32">
        <f>IF(Tabell2[[#This Row],[ReisetidOslo]]&lt;=D$427,D$427,IF(Tabell2[[#This Row],[ReisetidOslo]]&gt;=D$428,D$428,Tabell2[[#This Row],[ReisetidOslo]]))</f>
        <v>281.375</v>
      </c>
      <c r="N408" s="32">
        <f>IF(Tabell2[[#This Row],[Beftettotal]]&lt;=E$427,E$427,IF(Tabell2[[#This Row],[Beftettotal]]&gt;=E$428,E$428,Tabell2[[#This Row],[Beftettotal]]))</f>
        <v>12.410987974534308</v>
      </c>
      <c r="O408" s="32">
        <f>IF(Tabell2[[#This Row],[Befvekst10]]&lt;=F$427,F$427,IF(Tabell2[[#This Row],[Befvekst10]]&gt;=F$428,F$428,Tabell2[[#This Row],[Befvekst10]]))</f>
        <v>0.12096688318602911</v>
      </c>
      <c r="P408" s="32">
        <f>IF(Tabell2[[#This Row],[Kvinneandel]]&lt;=G$427,G$427,IF(Tabell2[[#This Row],[Kvinneandel]]&gt;=G$428,G$428,Tabell2[[#This Row],[Kvinneandel]]))</f>
        <v>0.12777681011054584</v>
      </c>
      <c r="Q408" s="32">
        <f>IF(Tabell2[[#This Row],[Eldreandel]]&lt;=H$427,H$427,IF(Tabell2[[#This Row],[Eldreandel]]&gt;=H$428,H$428,Tabell2[[#This Row],[Eldreandel]]))</f>
        <v>0.13032022035982854</v>
      </c>
      <c r="R408" s="32">
        <f>IF(Tabell2[[#This Row],[Sysselsettingsvekst10]]&lt;=I$427,I$427,IF(Tabell2[[#This Row],[Sysselsettingsvekst10]]&gt;=I$428,I$428,Tabell2[[#This Row],[Sysselsettingsvekst10]]))</f>
        <v>2.5929899856938388E-2</v>
      </c>
      <c r="S408" s="32">
        <f>IF(Tabell2[[#This Row],[Yrkesaktivandel]]&lt;=J$427,J$427,IF(Tabell2[[#This Row],[Yrkesaktivandel]]&gt;=J$428,J$428,Tabell2[[#This Row],[Yrkesaktivandel]]))</f>
        <v>0.86785992217898833</v>
      </c>
      <c r="T408" s="67">
        <f>IF(Tabell2[[#This Row],[Inntekt]]&lt;=K$427,K$427,IF(Tabell2[[#This Row],[Inntekt]]&gt;=K$428,K$428,Tabell2[[#This Row],[Inntekt]]))</f>
        <v>436700</v>
      </c>
      <c r="U408" s="10">
        <f>IF(Tabell2[[#This Row],[NIBR11-T]]&lt;=L$430,100,IF(Tabell2[[#This Row],[NIBR11-T]]&gt;=L$429,0,100*(L$429-Tabell2[[#This Row],[NIBR11-T]])/L$432))</f>
        <v>50</v>
      </c>
      <c r="V408" s="10">
        <f>(M$429-Tabell2[[#This Row],[ReisetidOslo-T]])*100/M$432</f>
        <v>2.3076482923200876</v>
      </c>
      <c r="W408" s="10">
        <f>100-(N$429-Tabell2[[#This Row],[Beftettotal-T]])*100/N$432</f>
        <v>8.3217461964070196</v>
      </c>
      <c r="X408" s="10">
        <f>100-(O$429-Tabell2[[#This Row],[Befvekst10-T]])*100/O$432</f>
        <v>75.598157675638873</v>
      </c>
      <c r="Y408" s="10">
        <f>100-(P$429-Tabell2[[#This Row],[Kvinneandel-T]])*100/P$432</f>
        <v>100</v>
      </c>
      <c r="Z408" s="10">
        <f>(Q$429-Tabell2[[#This Row],[Eldreandel-T]])*100/Q$432</f>
        <v>100</v>
      </c>
      <c r="AA408" s="10">
        <f>100-(R$429-Tabell2[[#This Row],[Sysselsettingsvekst10-T]])*100/R$432</f>
        <v>46.434657069149004</v>
      </c>
      <c r="AB408" s="10">
        <f>100-(S$429-Tabell2[[#This Row],[Yrkesaktivandel-T]])*100/S$432</f>
        <v>54.927068710503882</v>
      </c>
      <c r="AC408" s="10">
        <f>100-(T$429-Tabell2[[#This Row],[Inntekt-T]])*100/T$432</f>
        <v>86.160168832611348</v>
      </c>
      <c r="AD40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54.934760445226914</v>
      </c>
    </row>
    <row r="409" spans="1:30" x14ac:dyDescent="0.25">
      <c r="A409" s="2" t="s">
        <v>356</v>
      </c>
      <c r="B409" s="2">
        <v>407</v>
      </c>
      <c r="C409">
        <f>'Rådata-K'!N408</f>
        <v>11</v>
      </c>
      <c r="D409" s="30">
        <f>'Rådata-K'!M408</f>
        <v>316.75</v>
      </c>
      <c r="E409" s="32">
        <f>'Rådata-K'!O408</f>
        <v>0.30265788842039981</v>
      </c>
      <c r="F409" s="32">
        <f>'Rådata-K'!P408</f>
        <v>-9.106239460371035E-3</v>
      </c>
      <c r="G409" s="32">
        <f>'Rådata-K'!Q408</f>
        <v>0.1249149081007488</v>
      </c>
      <c r="H409" s="32">
        <f>'Rådata-K'!R408</f>
        <v>0.13921034717494896</v>
      </c>
      <c r="I409" s="32">
        <f>'Rådata-K'!S408</f>
        <v>-6.5682656826568264E-2</v>
      </c>
      <c r="J409" s="32">
        <f>'Rådata-K'!T408</f>
        <v>0.82515868436237738</v>
      </c>
      <c r="K409" s="67">
        <f>'Rådata-K'!L408</f>
        <v>319900</v>
      </c>
      <c r="L409" s="18">
        <f>Tabell2[[#This Row],[NIBR11]]</f>
        <v>11</v>
      </c>
      <c r="M409" s="32">
        <f>IF(Tabell2[[#This Row],[ReisetidOslo]]&lt;=D$427,D$427,IF(Tabell2[[#This Row],[ReisetidOslo]]&gt;=D$428,D$428,Tabell2[[#This Row],[ReisetidOslo]]))</f>
        <v>286.73125000000005</v>
      </c>
      <c r="N409" s="32">
        <f>IF(Tabell2[[#This Row],[Beftettotal]]&lt;=E$427,E$427,IF(Tabell2[[#This Row],[Beftettotal]]&gt;=E$428,E$428,Tabell2[[#This Row],[Beftettotal]]))</f>
        <v>1.2454428893921135</v>
      </c>
      <c r="O409" s="32">
        <f>IF(Tabell2[[#This Row],[Befvekst10]]&lt;=F$427,F$427,IF(Tabell2[[#This Row],[Befvekst10]]&gt;=F$428,F$428,Tabell2[[#This Row],[Befvekst10]]))</f>
        <v>-9.106239460371035E-3</v>
      </c>
      <c r="P409" s="32">
        <f>IF(Tabell2[[#This Row],[Kvinneandel]]&lt;=G$427,G$427,IF(Tabell2[[#This Row],[Kvinneandel]]&gt;=G$428,G$428,Tabell2[[#This Row],[Kvinneandel]]))</f>
        <v>0.1249149081007488</v>
      </c>
      <c r="Q409" s="32">
        <f>IF(Tabell2[[#This Row],[Eldreandel]]&lt;=H$427,H$427,IF(Tabell2[[#This Row],[Eldreandel]]&gt;=H$428,H$428,Tabell2[[#This Row],[Eldreandel]]))</f>
        <v>0.13921034717494896</v>
      </c>
      <c r="R409" s="32">
        <f>IF(Tabell2[[#This Row],[Sysselsettingsvekst10]]&lt;=I$427,I$427,IF(Tabell2[[#This Row],[Sysselsettingsvekst10]]&gt;=I$428,I$428,Tabell2[[#This Row],[Sysselsettingsvekst10]]))</f>
        <v>-6.5682656826568264E-2</v>
      </c>
      <c r="S409" s="32">
        <f>IF(Tabell2[[#This Row],[Yrkesaktivandel]]&lt;=J$427,J$427,IF(Tabell2[[#This Row],[Yrkesaktivandel]]&gt;=J$428,J$428,Tabell2[[#This Row],[Yrkesaktivandel]]))</f>
        <v>0.82515868436237738</v>
      </c>
      <c r="T409" s="67">
        <f>IF(Tabell2[[#This Row],[Inntekt]]&lt;=K$427,K$427,IF(Tabell2[[#This Row],[Inntekt]]&gt;=K$428,K$428,Tabell2[[#This Row],[Inntekt]]))</f>
        <v>359130</v>
      </c>
      <c r="U409" s="10">
        <f>IF(Tabell2[[#This Row],[NIBR11-T]]&lt;=L$430,100,IF(Tabell2[[#This Row],[NIBR11-T]]&gt;=L$429,0,100*(L$429-Tabell2[[#This Row],[NIBR11-T]])/L$432))</f>
        <v>0</v>
      </c>
      <c r="V409" s="10">
        <f>(M$429-Tabell2[[#This Row],[ReisetidOslo-T]])*100/M$432</f>
        <v>0</v>
      </c>
      <c r="W409" s="10">
        <f>100-(N$429-Tabell2[[#This Row],[Beftettotal-T]])*100/N$432</f>
        <v>0</v>
      </c>
      <c r="X409" s="10">
        <f>100-(O$429-Tabell2[[#This Row],[Befvekst10-T]])*100/O$432</f>
        <v>19.565933617309426</v>
      </c>
      <c r="Y409" s="10">
        <f>100-(P$429-Tabell2[[#This Row],[Kvinneandel-T]])*100/P$432</f>
        <v>92.440849083997549</v>
      </c>
      <c r="Z409" s="10">
        <f>(Q$429-Tabell2[[#This Row],[Eldreandel-T]])*100/Q$432</f>
        <v>90.411000137060398</v>
      </c>
      <c r="AA409" s="10">
        <f>100-(R$429-Tabell2[[#This Row],[Sysselsettingsvekst10-T]])*100/R$432</f>
        <v>14.384541330174827</v>
      </c>
      <c r="AB409" s="10">
        <f>100-(S$429-Tabell2[[#This Row],[Yrkesaktivandel-T]])*100/S$432</f>
        <v>21.806115791186031</v>
      </c>
      <c r="AC409" s="10">
        <f>100-(T$429-Tabell2[[#This Row],[Inntekt-T]])*100/T$432</f>
        <v>0</v>
      </c>
      <c r="AD40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16.674844896650871</v>
      </c>
    </row>
    <row r="410" spans="1:30" x14ac:dyDescent="0.25">
      <c r="A410" s="2" t="s">
        <v>357</v>
      </c>
      <c r="B410" s="2">
        <v>408</v>
      </c>
      <c r="C410">
        <f>'Rådata-K'!N409</f>
        <v>6</v>
      </c>
      <c r="D410" s="30">
        <f>'Rådata-K'!M409</f>
        <v>220.09375</v>
      </c>
      <c r="E410" s="32">
        <f>'Rådata-K'!O409</f>
        <v>5.3113805277090096</v>
      </c>
      <c r="F410" s="32">
        <f>'Rådata-K'!P409</f>
        <v>0.13023770038695415</v>
      </c>
      <c r="G410" s="32">
        <f>'Rådata-K'!Q409</f>
        <v>0.12956079428739117</v>
      </c>
      <c r="H410" s="32">
        <f>'Rådata-K'!R409</f>
        <v>0.11596400273892205</v>
      </c>
      <c r="I410" s="32">
        <f>'Rådata-K'!S409</f>
        <v>0.14255625762110635</v>
      </c>
      <c r="J410" s="32">
        <f>'Rådata-K'!T409</f>
        <v>0.83698357391737188</v>
      </c>
      <c r="K410" s="67">
        <f>'Rådata-K'!L409</f>
        <v>402600</v>
      </c>
      <c r="L410" s="18">
        <f>Tabell2[[#This Row],[NIBR11]]</f>
        <v>6</v>
      </c>
      <c r="M410" s="32">
        <f>IF(Tabell2[[#This Row],[ReisetidOslo]]&lt;=D$427,D$427,IF(Tabell2[[#This Row],[ReisetidOslo]]&gt;=D$428,D$428,Tabell2[[#This Row],[ReisetidOslo]]))</f>
        <v>220.09375</v>
      </c>
      <c r="N410" s="32">
        <f>IF(Tabell2[[#This Row],[Beftettotal]]&lt;=E$427,E$427,IF(Tabell2[[#This Row],[Beftettotal]]&gt;=E$428,E$428,Tabell2[[#This Row],[Beftettotal]]))</f>
        <v>5.3113805277090096</v>
      </c>
      <c r="O410" s="32">
        <f>IF(Tabell2[[#This Row],[Befvekst10]]&lt;=F$427,F$427,IF(Tabell2[[#This Row],[Befvekst10]]&gt;=F$428,F$428,Tabell2[[#This Row],[Befvekst10]]))</f>
        <v>0.13023770038695415</v>
      </c>
      <c r="P410" s="32">
        <f>IF(Tabell2[[#This Row],[Kvinneandel]]&lt;=G$427,G$427,IF(Tabell2[[#This Row],[Kvinneandel]]&gt;=G$428,G$428,Tabell2[[#This Row],[Kvinneandel]]))</f>
        <v>0.12777681011054584</v>
      </c>
      <c r="Q410" s="32">
        <f>IF(Tabell2[[#This Row],[Eldreandel]]&lt;=H$427,H$427,IF(Tabell2[[#This Row],[Eldreandel]]&gt;=H$428,H$428,Tabell2[[#This Row],[Eldreandel]]))</f>
        <v>0.13032022035982854</v>
      </c>
      <c r="R410" s="32">
        <f>IF(Tabell2[[#This Row],[Sysselsettingsvekst10]]&lt;=I$427,I$427,IF(Tabell2[[#This Row],[Sysselsettingsvekst10]]&gt;=I$428,I$428,Tabell2[[#This Row],[Sysselsettingsvekst10]]))</f>
        <v>0.14255625762110635</v>
      </c>
      <c r="S410" s="32">
        <f>IF(Tabell2[[#This Row],[Yrkesaktivandel]]&lt;=J$427,J$427,IF(Tabell2[[#This Row],[Yrkesaktivandel]]&gt;=J$428,J$428,Tabell2[[#This Row],[Yrkesaktivandel]]))</f>
        <v>0.83698357391737188</v>
      </c>
      <c r="T410" s="67">
        <f>IF(Tabell2[[#This Row],[Inntekt]]&lt;=K$427,K$427,IF(Tabell2[[#This Row],[Inntekt]]&gt;=K$428,K$428,Tabell2[[#This Row],[Inntekt]]))</f>
        <v>402600</v>
      </c>
      <c r="U410" s="10">
        <f>IF(Tabell2[[#This Row],[NIBR11-T]]&lt;=L$430,100,IF(Tabell2[[#This Row],[NIBR11-T]]&gt;=L$429,0,100*(L$429-Tabell2[[#This Row],[NIBR11-T]])/L$432))</f>
        <v>50</v>
      </c>
      <c r="V410" s="10">
        <f>(M$429-Tabell2[[#This Row],[ReisetidOslo-T]])*100/M$432</f>
        <v>28.709622045176875</v>
      </c>
      <c r="W410" s="10">
        <f>100-(N$429-Tabell2[[#This Row],[Beftettotal-T]])*100/N$432</f>
        <v>3.0303671534600198</v>
      </c>
      <c r="X410" s="10">
        <f>100-(O$429-Tabell2[[#This Row],[Befvekst10-T]])*100/O$432</f>
        <v>79.591792148597563</v>
      </c>
      <c r="Y410" s="10">
        <f>100-(P$429-Tabell2[[#This Row],[Kvinneandel-T]])*100/P$432</f>
        <v>100</v>
      </c>
      <c r="Z410" s="10">
        <f>(Q$429-Tabell2[[#This Row],[Eldreandel-T]])*100/Q$432</f>
        <v>100</v>
      </c>
      <c r="AA410" s="10">
        <f>100-(R$429-Tabell2[[#This Row],[Sysselsettingsvekst10-T]])*100/R$432</f>
        <v>87.235704435066893</v>
      </c>
      <c r="AB410" s="10">
        <f>100-(S$429-Tabell2[[#This Row],[Yrkesaktivandel-T]])*100/S$432</f>
        <v>30.978018767608702</v>
      </c>
      <c r="AC410" s="10">
        <f>100-(T$429-Tabell2[[#This Row],[Inntekt-T]])*100/T$432</f>
        <v>48.283905364878372</v>
      </c>
      <c r="AD41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55.742120206338598</v>
      </c>
    </row>
    <row r="411" spans="1:30" x14ac:dyDescent="0.25">
      <c r="A411" s="2" t="s">
        <v>358</v>
      </c>
      <c r="B411" s="2">
        <v>409</v>
      </c>
      <c r="C411">
        <f>'Rådata-K'!N410</f>
        <v>11</v>
      </c>
      <c r="D411" s="30">
        <f>'Rådata-K'!M410</f>
        <v>311.75</v>
      </c>
      <c r="E411" s="32">
        <f>'Rådata-K'!O410</f>
        <v>1.4051998199950644</v>
      </c>
      <c r="F411" s="32">
        <f>'Rådata-K'!P410</f>
        <v>-0.15826086956521734</v>
      </c>
      <c r="G411" s="32">
        <f>'Rådata-K'!Q410</f>
        <v>8.5743801652892568E-2</v>
      </c>
      <c r="H411" s="32">
        <f>'Rådata-K'!R410</f>
        <v>0.25723140495867769</v>
      </c>
      <c r="I411" s="32">
        <f>'Rådata-K'!S410</f>
        <v>-0.16781609195402303</v>
      </c>
      <c r="J411" s="32">
        <f>'Rådata-K'!T410</f>
        <v>0.81273408239700373</v>
      </c>
      <c r="K411" s="67">
        <f>'Rådata-K'!L410</f>
        <v>357800</v>
      </c>
      <c r="L411" s="18">
        <f>Tabell2[[#This Row],[NIBR11]]</f>
        <v>11</v>
      </c>
      <c r="M411" s="32">
        <f>IF(Tabell2[[#This Row],[ReisetidOslo]]&lt;=D$427,D$427,IF(Tabell2[[#This Row],[ReisetidOslo]]&gt;=D$428,D$428,Tabell2[[#This Row],[ReisetidOslo]]))</f>
        <v>286.73125000000005</v>
      </c>
      <c r="N411" s="32">
        <f>IF(Tabell2[[#This Row],[Beftettotal]]&lt;=E$427,E$427,IF(Tabell2[[#This Row],[Beftettotal]]&gt;=E$428,E$428,Tabell2[[#This Row],[Beftettotal]]))</f>
        <v>1.4051998199950644</v>
      </c>
      <c r="O411" s="32">
        <f>IF(Tabell2[[#This Row],[Befvekst10]]&lt;=F$427,F$427,IF(Tabell2[[#This Row],[Befvekst10]]&gt;=F$428,F$428,Tabell2[[#This Row],[Befvekst10]]))</f>
        <v>-5.4526569027269343E-2</v>
      </c>
      <c r="P411" s="32">
        <f>IF(Tabell2[[#This Row],[Kvinneandel]]&lt;=G$427,G$427,IF(Tabell2[[#This Row],[Kvinneandel]]&gt;=G$428,G$428,Tabell2[[#This Row],[Kvinneandel]]))</f>
        <v>8.9916711250255951E-2</v>
      </c>
      <c r="Q411" s="32">
        <f>IF(Tabell2[[#This Row],[Eldreandel]]&lt;=H$427,H$427,IF(Tabell2[[#This Row],[Eldreandel]]&gt;=H$428,H$428,Tabell2[[#This Row],[Eldreandel]]))</f>
        <v>0.22303194152148736</v>
      </c>
      <c r="R411" s="32">
        <f>IF(Tabell2[[#This Row],[Sysselsettingsvekst10]]&lt;=I$427,I$427,IF(Tabell2[[#This Row],[Sysselsettingsvekst10]]&gt;=I$428,I$428,Tabell2[[#This Row],[Sysselsettingsvekst10]]))</f>
        <v>-0.10679965679965678</v>
      </c>
      <c r="S411" s="32">
        <f>IF(Tabell2[[#This Row],[Yrkesaktivandel]]&lt;=J$427,J$427,IF(Tabell2[[#This Row],[Yrkesaktivandel]]&gt;=J$428,J$428,Tabell2[[#This Row],[Yrkesaktivandel]]))</f>
        <v>0.81273408239700373</v>
      </c>
      <c r="T411" s="67">
        <f>IF(Tabell2[[#This Row],[Inntekt]]&lt;=K$427,K$427,IF(Tabell2[[#This Row],[Inntekt]]&gt;=K$428,K$428,Tabell2[[#This Row],[Inntekt]]))</f>
        <v>359130</v>
      </c>
      <c r="U411" s="10">
        <f>IF(Tabell2[[#This Row],[NIBR11-T]]&lt;=L$430,100,IF(Tabell2[[#This Row],[NIBR11-T]]&gt;=L$429,0,100*(L$429-Tabell2[[#This Row],[NIBR11-T]])/L$432))</f>
        <v>0</v>
      </c>
      <c r="V411" s="10">
        <f>(M$429-Tabell2[[#This Row],[ReisetidOslo-T]])*100/M$432</f>
        <v>0</v>
      </c>
      <c r="W411" s="10">
        <f>100-(N$429-Tabell2[[#This Row],[Beftettotal-T]])*100/N$432</f>
        <v>0.11906777675939395</v>
      </c>
      <c r="X411" s="10">
        <f>100-(O$429-Tabell2[[#This Row],[Befvekst10-T]])*100/O$432</f>
        <v>0</v>
      </c>
      <c r="Y411" s="10">
        <f>100-(P$429-Tabell2[[#This Row],[Kvinneandel-T]])*100/P$432</f>
        <v>0</v>
      </c>
      <c r="Z411" s="10">
        <f>(Q$429-Tabell2[[#This Row],[Eldreandel-T]])*100/Q$432</f>
        <v>0</v>
      </c>
      <c r="AA411" s="10">
        <f>100-(R$429-Tabell2[[#This Row],[Sysselsettingsvekst10-T]])*100/R$432</f>
        <v>0</v>
      </c>
      <c r="AB411" s="10">
        <f>100-(S$429-Tabell2[[#This Row],[Yrkesaktivandel-T]])*100/S$432</f>
        <v>12.169049565992822</v>
      </c>
      <c r="AC411" s="10">
        <f>100-(T$429-Tabell2[[#This Row],[Inntekt-T]])*100/T$432</f>
        <v>0</v>
      </c>
      <c r="AD41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1.2288117342752216</v>
      </c>
    </row>
    <row r="412" spans="1:30" x14ac:dyDescent="0.25">
      <c r="A412" s="2" t="s">
        <v>359</v>
      </c>
      <c r="B412" s="2">
        <v>410</v>
      </c>
      <c r="C412">
        <f>'Rådata-K'!N411</f>
        <v>11</v>
      </c>
      <c r="D412" s="30">
        <f>'Rådata-K'!M411</f>
        <v>293.125</v>
      </c>
      <c r="E412" s="32">
        <f>'Rådata-K'!O411</f>
        <v>1.8665850673194617</v>
      </c>
      <c r="F412" s="32">
        <f>'Rådata-K'!P411</f>
        <v>3.184079601990053E-2</v>
      </c>
      <c r="G412" s="32">
        <f>'Rådata-K'!Q411</f>
        <v>0.10125361620057859</v>
      </c>
      <c r="H412" s="32">
        <f>'Rådata-K'!R411</f>
        <v>0.17647058823529413</v>
      </c>
      <c r="I412" s="32">
        <f>'Rådata-K'!S411</f>
        <v>4.8101265822784844E-2</v>
      </c>
      <c r="J412" s="32">
        <f>'Rådata-K'!T411</f>
        <v>0.73143759873617697</v>
      </c>
      <c r="K412" s="67">
        <f>'Rådata-K'!L411</f>
        <v>347000</v>
      </c>
      <c r="L412" s="18">
        <f>Tabell2[[#This Row],[NIBR11]]</f>
        <v>11</v>
      </c>
      <c r="M412" s="32">
        <f>IF(Tabell2[[#This Row],[ReisetidOslo]]&lt;=D$427,D$427,IF(Tabell2[[#This Row],[ReisetidOslo]]&gt;=D$428,D$428,Tabell2[[#This Row],[ReisetidOslo]]))</f>
        <v>286.73125000000005</v>
      </c>
      <c r="N412" s="32">
        <f>IF(Tabell2[[#This Row],[Beftettotal]]&lt;=E$427,E$427,IF(Tabell2[[#This Row],[Beftettotal]]&gt;=E$428,E$428,Tabell2[[#This Row],[Beftettotal]]))</f>
        <v>1.8665850673194617</v>
      </c>
      <c r="O412" s="32">
        <f>IF(Tabell2[[#This Row],[Befvekst10]]&lt;=F$427,F$427,IF(Tabell2[[#This Row],[Befvekst10]]&gt;=F$428,F$428,Tabell2[[#This Row],[Befvekst10]]))</f>
        <v>3.184079601990053E-2</v>
      </c>
      <c r="P412" s="32">
        <f>IF(Tabell2[[#This Row],[Kvinneandel]]&lt;=G$427,G$427,IF(Tabell2[[#This Row],[Kvinneandel]]&gt;=G$428,G$428,Tabell2[[#This Row],[Kvinneandel]]))</f>
        <v>0.10125361620057859</v>
      </c>
      <c r="Q412" s="32">
        <f>IF(Tabell2[[#This Row],[Eldreandel]]&lt;=H$427,H$427,IF(Tabell2[[#This Row],[Eldreandel]]&gt;=H$428,H$428,Tabell2[[#This Row],[Eldreandel]]))</f>
        <v>0.17647058823529413</v>
      </c>
      <c r="R412" s="32">
        <f>IF(Tabell2[[#This Row],[Sysselsettingsvekst10]]&lt;=I$427,I$427,IF(Tabell2[[#This Row],[Sysselsettingsvekst10]]&gt;=I$428,I$428,Tabell2[[#This Row],[Sysselsettingsvekst10]]))</f>
        <v>4.8101265822784844E-2</v>
      </c>
      <c r="S412" s="32">
        <f>IF(Tabell2[[#This Row],[Yrkesaktivandel]]&lt;=J$427,J$427,IF(Tabell2[[#This Row],[Yrkesaktivandel]]&gt;=J$428,J$428,Tabell2[[#This Row],[Yrkesaktivandel]]))</f>
        <v>0.7970451171433347</v>
      </c>
      <c r="T412" s="67">
        <f>IF(Tabell2[[#This Row],[Inntekt]]&lt;=K$427,K$427,IF(Tabell2[[#This Row],[Inntekt]]&gt;=K$428,K$428,Tabell2[[#This Row],[Inntekt]]))</f>
        <v>359130</v>
      </c>
      <c r="U412" s="10">
        <f>IF(Tabell2[[#This Row],[NIBR11-T]]&lt;=L$430,100,IF(Tabell2[[#This Row],[NIBR11-T]]&gt;=L$429,0,100*(L$429-Tabell2[[#This Row],[NIBR11-T]])/L$432))</f>
        <v>0</v>
      </c>
      <c r="V412" s="10">
        <f>(M$429-Tabell2[[#This Row],[ReisetidOslo-T]])*100/M$432</f>
        <v>0</v>
      </c>
      <c r="W412" s="10">
        <f>100-(N$429-Tabell2[[#This Row],[Beftettotal-T]])*100/N$432</f>
        <v>0.46294090590104986</v>
      </c>
      <c r="X412" s="10">
        <f>100-(O$429-Tabell2[[#This Row],[Befvekst10-T]])*100/O$432</f>
        <v>37.204884846242955</v>
      </c>
      <c r="Y412" s="10">
        <f>100-(P$429-Tabell2[[#This Row],[Kvinneandel-T]])*100/P$432</f>
        <v>29.944203241934773</v>
      </c>
      <c r="Z412" s="10">
        <f>(Q$429-Tabell2[[#This Row],[Eldreandel-T]])*100/Q$432</f>
        <v>50.2216469533615</v>
      </c>
      <c r="AA412" s="10">
        <f>100-(R$429-Tabell2[[#This Row],[Sysselsettingsvekst10-T]])*100/R$432</f>
        <v>54.191179439236535</v>
      </c>
      <c r="AB412" s="10">
        <f>100-(S$429-Tabell2[[#This Row],[Yrkesaktivandel-T]])*100/S$432</f>
        <v>0</v>
      </c>
      <c r="AC412" s="10">
        <f>100-(T$429-Tabell2[[#This Row],[Inntekt-T]])*100/T$432</f>
        <v>0</v>
      </c>
      <c r="AD41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16.914681513527164</v>
      </c>
    </row>
    <row r="413" spans="1:30" x14ac:dyDescent="0.25">
      <c r="A413" s="2" t="s">
        <v>360</v>
      </c>
      <c r="B413" s="2">
        <v>411</v>
      </c>
      <c r="C413">
        <f>'Rådata-K'!N412</f>
        <v>6</v>
      </c>
      <c r="D413" s="30">
        <f>'Rådata-K'!M412</f>
        <v>298.8125</v>
      </c>
      <c r="E413" s="32">
        <f>'Rådata-K'!O412</f>
        <v>0.55685385703983648</v>
      </c>
      <c r="F413" s="32">
        <f>'Rådata-K'!P412</f>
        <v>-5.9523809523809534E-2</v>
      </c>
      <c r="G413" s="32">
        <f>'Rådata-K'!Q412</f>
        <v>8.3739045764362224E-2</v>
      </c>
      <c r="H413" s="32">
        <f>'Rådata-K'!R412</f>
        <v>0.24148003894839337</v>
      </c>
      <c r="I413" s="32">
        <f>'Rådata-K'!S412</f>
        <v>0.14857142857142858</v>
      </c>
      <c r="J413" s="32">
        <f>'Rådata-K'!T412</f>
        <v>0.84065934065934067</v>
      </c>
      <c r="K413" s="67">
        <f>'Rådata-K'!L412</f>
        <v>378700</v>
      </c>
      <c r="L413" s="18">
        <f>Tabell2[[#This Row],[NIBR11]]</f>
        <v>6</v>
      </c>
      <c r="M413" s="32">
        <f>IF(Tabell2[[#This Row],[ReisetidOslo]]&lt;=D$427,D$427,IF(Tabell2[[#This Row],[ReisetidOslo]]&gt;=D$428,D$428,Tabell2[[#This Row],[ReisetidOslo]]))</f>
        <v>286.73125000000005</v>
      </c>
      <c r="N413" s="32">
        <f>IF(Tabell2[[#This Row],[Beftettotal]]&lt;=E$427,E$427,IF(Tabell2[[#This Row],[Beftettotal]]&gt;=E$428,E$428,Tabell2[[#This Row],[Beftettotal]]))</f>
        <v>1.2454428893921135</v>
      </c>
      <c r="O413" s="32">
        <f>IF(Tabell2[[#This Row],[Befvekst10]]&lt;=F$427,F$427,IF(Tabell2[[#This Row],[Befvekst10]]&gt;=F$428,F$428,Tabell2[[#This Row],[Befvekst10]]))</f>
        <v>-5.4526569027269343E-2</v>
      </c>
      <c r="P413" s="32">
        <f>IF(Tabell2[[#This Row],[Kvinneandel]]&lt;=G$427,G$427,IF(Tabell2[[#This Row],[Kvinneandel]]&gt;=G$428,G$428,Tabell2[[#This Row],[Kvinneandel]]))</f>
        <v>8.9916711250255951E-2</v>
      </c>
      <c r="Q413" s="32">
        <f>IF(Tabell2[[#This Row],[Eldreandel]]&lt;=H$427,H$427,IF(Tabell2[[#This Row],[Eldreandel]]&gt;=H$428,H$428,Tabell2[[#This Row],[Eldreandel]]))</f>
        <v>0.22303194152148736</v>
      </c>
      <c r="R413" s="32">
        <f>IF(Tabell2[[#This Row],[Sysselsettingsvekst10]]&lt;=I$427,I$427,IF(Tabell2[[#This Row],[Sysselsettingsvekst10]]&gt;=I$428,I$428,Tabell2[[#This Row],[Sysselsettingsvekst10]]))</f>
        <v>0.14857142857142858</v>
      </c>
      <c r="S413" s="32">
        <f>IF(Tabell2[[#This Row],[Yrkesaktivandel]]&lt;=J$427,J$427,IF(Tabell2[[#This Row],[Yrkesaktivandel]]&gt;=J$428,J$428,Tabell2[[#This Row],[Yrkesaktivandel]]))</f>
        <v>0.84065934065934067</v>
      </c>
      <c r="T413" s="67">
        <f>IF(Tabell2[[#This Row],[Inntekt]]&lt;=K$427,K$427,IF(Tabell2[[#This Row],[Inntekt]]&gt;=K$428,K$428,Tabell2[[#This Row],[Inntekt]]))</f>
        <v>378700</v>
      </c>
      <c r="U413" s="10">
        <f>IF(Tabell2[[#This Row],[NIBR11-T]]&lt;=L$430,100,IF(Tabell2[[#This Row],[NIBR11-T]]&gt;=L$429,0,100*(L$429-Tabell2[[#This Row],[NIBR11-T]])/L$432))</f>
        <v>50</v>
      </c>
      <c r="V413" s="10">
        <f>(M$429-Tabell2[[#This Row],[ReisetidOslo-T]])*100/M$432</f>
        <v>0</v>
      </c>
      <c r="W413" s="10">
        <f>100-(N$429-Tabell2[[#This Row],[Beftettotal-T]])*100/N$432</f>
        <v>0</v>
      </c>
      <c r="X413" s="10">
        <f>100-(O$429-Tabell2[[#This Row],[Befvekst10-T]])*100/O$432</f>
        <v>0</v>
      </c>
      <c r="Y413" s="10">
        <f>100-(P$429-Tabell2[[#This Row],[Kvinneandel-T]])*100/P$432</f>
        <v>0</v>
      </c>
      <c r="Z413" s="10">
        <f>(Q$429-Tabell2[[#This Row],[Eldreandel-T]])*100/Q$432</f>
        <v>0</v>
      </c>
      <c r="AA413" s="10">
        <f>100-(R$429-Tabell2[[#This Row],[Sysselsettingsvekst10-T]])*100/R$432</f>
        <v>89.340076719027508</v>
      </c>
      <c r="AB413" s="10">
        <f>100-(S$429-Tabell2[[#This Row],[Yrkesaktivandel-T]])*100/S$432</f>
        <v>33.82910467116028</v>
      </c>
      <c r="AC413" s="10">
        <f>100-(T$429-Tabell2[[#This Row],[Inntekt-T]])*100/T$432</f>
        <v>21.7371987115406</v>
      </c>
      <c r="AD41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24.490638010172841</v>
      </c>
    </row>
    <row r="414" spans="1:30" x14ac:dyDescent="0.25">
      <c r="A414" s="2" t="s">
        <v>361</v>
      </c>
      <c r="B414" s="2">
        <v>412</v>
      </c>
      <c r="C414">
        <f>'Rådata-K'!N413</f>
        <v>11</v>
      </c>
      <c r="D414" s="30">
        <f>'Rådata-K'!M413</f>
        <v>361.4375</v>
      </c>
      <c r="E414" s="32">
        <f>'Rådata-K'!O413</f>
        <v>1.0600271169727598</v>
      </c>
      <c r="F414" s="32">
        <f>'Rådata-K'!P413</f>
        <v>-8.7187263078089439E-2</v>
      </c>
      <c r="G414" s="32">
        <f>'Rådata-K'!Q413</f>
        <v>0.1004983388704319</v>
      </c>
      <c r="H414" s="32">
        <f>'Rådata-K'!R413</f>
        <v>0.2350498338870432</v>
      </c>
      <c r="I414" s="32">
        <f>'Rådata-K'!S413</f>
        <v>-0.18378378378378379</v>
      </c>
      <c r="J414" s="32">
        <f>'Rådata-K'!T413</f>
        <v>0.79154078549848939</v>
      </c>
      <c r="K414" s="67">
        <f>'Rådata-K'!L413</f>
        <v>368500</v>
      </c>
      <c r="L414" s="18">
        <f>Tabell2[[#This Row],[NIBR11]]</f>
        <v>11</v>
      </c>
      <c r="M414" s="32">
        <f>IF(Tabell2[[#This Row],[ReisetidOslo]]&lt;=D$427,D$427,IF(Tabell2[[#This Row],[ReisetidOslo]]&gt;=D$428,D$428,Tabell2[[#This Row],[ReisetidOslo]]))</f>
        <v>286.73125000000005</v>
      </c>
      <c r="N414" s="32">
        <f>IF(Tabell2[[#This Row],[Beftettotal]]&lt;=E$427,E$427,IF(Tabell2[[#This Row],[Beftettotal]]&gt;=E$428,E$428,Tabell2[[#This Row],[Beftettotal]]))</f>
        <v>1.2454428893921135</v>
      </c>
      <c r="O414" s="32">
        <f>IF(Tabell2[[#This Row],[Befvekst10]]&lt;=F$427,F$427,IF(Tabell2[[#This Row],[Befvekst10]]&gt;=F$428,F$428,Tabell2[[#This Row],[Befvekst10]]))</f>
        <v>-5.4526569027269343E-2</v>
      </c>
      <c r="P414" s="32">
        <f>IF(Tabell2[[#This Row],[Kvinneandel]]&lt;=G$427,G$427,IF(Tabell2[[#This Row],[Kvinneandel]]&gt;=G$428,G$428,Tabell2[[#This Row],[Kvinneandel]]))</f>
        <v>0.1004983388704319</v>
      </c>
      <c r="Q414" s="32">
        <f>IF(Tabell2[[#This Row],[Eldreandel]]&lt;=H$427,H$427,IF(Tabell2[[#This Row],[Eldreandel]]&gt;=H$428,H$428,Tabell2[[#This Row],[Eldreandel]]))</f>
        <v>0.22303194152148736</v>
      </c>
      <c r="R414" s="32">
        <f>IF(Tabell2[[#This Row],[Sysselsettingsvekst10]]&lt;=I$427,I$427,IF(Tabell2[[#This Row],[Sysselsettingsvekst10]]&gt;=I$428,I$428,Tabell2[[#This Row],[Sysselsettingsvekst10]]))</f>
        <v>-0.10679965679965678</v>
      </c>
      <c r="S414" s="32">
        <f>IF(Tabell2[[#This Row],[Yrkesaktivandel]]&lt;=J$427,J$427,IF(Tabell2[[#This Row],[Yrkesaktivandel]]&gt;=J$428,J$428,Tabell2[[#This Row],[Yrkesaktivandel]]))</f>
        <v>0.7970451171433347</v>
      </c>
      <c r="T414" s="67">
        <f>IF(Tabell2[[#This Row],[Inntekt]]&lt;=K$427,K$427,IF(Tabell2[[#This Row],[Inntekt]]&gt;=K$428,K$428,Tabell2[[#This Row],[Inntekt]]))</f>
        <v>368500</v>
      </c>
      <c r="U414" s="10">
        <f>IF(Tabell2[[#This Row],[NIBR11-T]]&lt;=L$430,100,IF(Tabell2[[#This Row],[NIBR11-T]]&gt;=L$429,0,100*(L$429-Tabell2[[#This Row],[NIBR11-T]])/L$432))</f>
        <v>0</v>
      </c>
      <c r="V414" s="10">
        <f>(M$429-Tabell2[[#This Row],[ReisetidOslo-T]])*100/M$432</f>
        <v>0</v>
      </c>
      <c r="W414" s="10">
        <f>100-(N$429-Tabell2[[#This Row],[Beftettotal-T]])*100/N$432</f>
        <v>0</v>
      </c>
      <c r="X414" s="10">
        <f>100-(O$429-Tabell2[[#This Row],[Befvekst10-T]])*100/O$432</f>
        <v>0</v>
      </c>
      <c r="Y414" s="10">
        <f>100-(P$429-Tabell2[[#This Row],[Kvinneandel-T]])*100/P$432</f>
        <v>27.949286818357038</v>
      </c>
      <c r="Z414" s="10">
        <f>(Q$429-Tabell2[[#This Row],[Eldreandel-T]])*100/Q$432</f>
        <v>0</v>
      </c>
      <c r="AA414" s="10">
        <f>100-(R$429-Tabell2[[#This Row],[Sysselsettingsvekst10-T]])*100/R$432</f>
        <v>0</v>
      </c>
      <c r="AB414" s="10">
        <f>100-(S$429-Tabell2[[#This Row],[Yrkesaktivandel-T]])*100/S$432</f>
        <v>0</v>
      </c>
      <c r="AC414" s="10">
        <f>100-(T$429-Tabell2[[#This Row],[Inntekt-T]])*100/T$432</f>
        <v>10.407641897145396</v>
      </c>
      <c r="AD41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2.4382285306323919</v>
      </c>
    </row>
    <row r="415" spans="1:30" x14ac:dyDescent="0.25">
      <c r="A415" s="2" t="s">
        <v>362</v>
      </c>
      <c r="B415" s="2">
        <v>413</v>
      </c>
      <c r="C415">
        <f>'Rådata-K'!N414</f>
        <v>9</v>
      </c>
      <c r="D415" s="30">
        <f>'Rådata-K'!M414</f>
        <v>331.5625</v>
      </c>
      <c r="E415" s="32">
        <f>'Rådata-K'!O414</f>
        <v>3.5551474559792586</v>
      </c>
      <c r="F415" s="32">
        <f>'Rådata-K'!P414</f>
        <v>5.1924251679902333E-3</v>
      </c>
      <c r="G415" s="32">
        <f>'Rådata-K'!Q414</f>
        <v>0.10695837131570951</v>
      </c>
      <c r="H415" s="32">
        <f>'Rådata-K'!R414</f>
        <v>0.17259191735034943</v>
      </c>
      <c r="I415" s="32">
        <f>'Rådata-K'!S414</f>
        <v>1.591695501730106E-2</v>
      </c>
      <c r="J415" s="32">
        <f>'Rådata-K'!T414</f>
        <v>0.8057702215352911</v>
      </c>
      <c r="K415" s="67">
        <f>'Rådata-K'!L414</f>
        <v>391400</v>
      </c>
      <c r="L415" s="18">
        <f>Tabell2[[#This Row],[NIBR11]]</f>
        <v>9</v>
      </c>
      <c r="M415" s="32">
        <f>IF(Tabell2[[#This Row],[ReisetidOslo]]&lt;=D$427,D$427,IF(Tabell2[[#This Row],[ReisetidOslo]]&gt;=D$428,D$428,Tabell2[[#This Row],[ReisetidOslo]]))</f>
        <v>286.73125000000005</v>
      </c>
      <c r="N415" s="32">
        <f>IF(Tabell2[[#This Row],[Beftettotal]]&lt;=E$427,E$427,IF(Tabell2[[#This Row],[Beftettotal]]&gt;=E$428,E$428,Tabell2[[#This Row],[Beftettotal]]))</f>
        <v>3.5551474559792586</v>
      </c>
      <c r="O415" s="32">
        <f>IF(Tabell2[[#This Row],[Befvekst10]]&lt;=F$427,F$427,IF(Tabell2[[#This Row],[Befvekst10]]&gt;=F$428,F$428,Tabell2[[#This Row],[Befvekst10]]))</f>
        <v>5.1924251679902333E-3</v>
      </c>
      <c r="P415" s="32">
        <f>IF(Tabell2[[#This Row],[Kvinneandel]]&lt;=G$427,G$427,IF(Tabell2[[#This Row],[Kvinneandel]]&gt;=G$428,G$428,Tabell2[[#This Row],[Kvinneandel]]))</f>
        <v>0.10695837131570951</v>
      </c>
      <c r="Q415" s="32">
        <f>IF(Tabell2[[#This Row],[Eldreandel]]&lt;=H$427,H$427,IF(Tabell2[[#This Row],[Eldreandel]]&gt;=H$428,H$428,Tabell2[[#This Row],[Eldreandel]]))</f>
        <v>0.17259191735034943</v>
      </c>
      <c r="R415" s="32">
        <f>IF(Tabell2[[#This Row],[Sysselsettingsvekst10]]&lt;=I$427,I$427,IF(Tabell2[[#This Row],[Sysselsettingsvekst10]]&gt;=I$428,I$428,Tabell2[[#This Row],[Sysselsettingsvekst10]]))</f>
        <v>1.591695501730106E-2</v>
      </c>
      <c r="S415" s="32">
        <f>IF(Tabell2[[#This Row],[Yrkesaktivandel]]&lt;=J$427,J$427,IF(Tabell2[[#This Row],[Yrkesaktivandel]]&gt;=J$428,J$428,Tabell2[[#This Row],[Yrkesaktivandel]]))</f>
        <v>0.8057702215352911</v>
      </c>
      <c r="T415" s="67">
        <f>IF(Tabell2[[#This Row],[Inntekt]]&lt;=K$427,K$427,IF(Tabell2[[#This Row],[Inntekt]]&gt;=K$428,K$428,Tabell2[[#This Row],[Inntekt]]))</f>
        <v>391400</v>
      </c>
      <c r="U415" s="10">
        <f>IF(Tabell2[[#This Row],[NIBR11-T]]&lt;=L$430,100,IF(Tabell2[[#This Row],[NIBR11-T]]&gt;=L$429,0,100*(L$429-Tabell2[[#This Row],[NIBR11-T]])/L$432))</f>
        <v>20</v>
      </c>
      <c r="V415" s="10">
        <f>(M$429-Tabell2[[#This Row],[ReisetidOslo-T]])*100/M$432</f>
        <v>0</v>
      </c>
      <c r="W415" s="10">
        <f>100-(N$429-Tabell2[[#This Row],[Beftettotal-T]])*100/N$432</f>
        <v>1.7214363513159157</v>
      </c>
      <c r="X415" s="10">
        <f>100-(O$429-Tabell2[[#This Row],[Befvekst10-T]])*100/O$432</f>
        <v>25.725438085955489</v>
      </c>
      <c r="Y415" s="10">
        <f>100-(P$429-Tabell2[[#This Row],[Kvinneandel-T]])*100/P$432</f>
        <v>45.012191141761512</v>
      </c>
      <c r="Z415" s="10">
        <f>(Q$429-Tabell2[[#This Row],[Eldreandel-T]])*100/Q$432</f>
        <v>54.405228960410611</v>
      </c>
      <c r="AA415" s="10">
        <f>100-(R$429-Tabell2[[#This Row],[Sysselsettingsvekst10-T]])*100/R$432</f>
        <v>42.931687032988926</v>
      </c>
      <c r="AB415" s="10">
        <f>100-(S$429-Tabell2[[#This Row],[Yrkesaktivandel-T]])*100/S$432</f>
        <v>6.7675736479401394</v>
      </c>
      <c r="AC415" s="10">
        <f>100-(T$429-Tabell2[[#This Row],[Inntekt-T]])*100/T$432</f>
        <v>35.843607686326777</v>
      </c>
      <c r="AD415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22.842389094156882</v>
      </c>
    </row>
    <row r="416" spans="1:30" x14ac:dyDescent="0.25">
      <c r="A416" s="2" t="s">
        <v>363</v>
      </c>
      <c r="B416" s="2">
        <v>414</v>
      </c>
      <c r="C416">
        <f>'Rådata-K'!N415</f>
        <v>9</v>
      </c>
      <c r="D416" s="30">
        <f>'Rådata-K'!M415</f>
        <v>286.8125</v>
      </c>
      <c r="E416" s="32">
        <f>'Rådata-K'!O415</f>
        <v>0.81496866136625767</v>
      </c>
      <c r="F416" s="32">
        <f>'Rådata-K'!P415</f>
        <v>-4.1052885776382553E-2</v>
      </c>
      <c r="G416" s="32">
        <f>'Rådata-K'!Q415</f>
        <v>0.10400402921178545</v>
      </c>
      <c r="H416" s="32">
        <f>'Rådata-K'!R415</f>
        <v>0.17753714429614706</v>
      </c>
      <c r="I416" s="32">
        <f>'Rådata-K'!S415</f>
        <v>-7.291666666666663E-2</v>
      </c>
      <c r="J416" s="32">
        <f>'Rådata-K'!T415</f>
        <v>0.81161896625373775</v>
      </c>
      <c r="K416" s="67">
        <f>'Rådata-K'!L415</f>
        <v>387700</v>
      </c>
      <c r="L416" s="18">
        <f>Tabell2[[#This Row],[NIBR11]]</f>
        <v>9</v>
      </c>
      <c r="M416" s="32">
        <f>IF(Tabell2[[#This Row],[ReisetidOslo]]&lt;=D$427,D$427,IF(Tabell2[[#This Row],[ReisetidOslo]]&gt;=D$428,D$428,Tabell2[[#This Row],[ReisetidOslo]]))</f>
        <v>286.73125000000005</v>
      </c>
      <c r="N416" s="32">
        <f>IF(Tabell2[[#This Row],[Beftettotal]]&lt;=E$427,E$427,IF(Tabell2[[#This Row],[Beftettotal]]&gt;=E$428,E$428,Tabell2[[#This Row],[Beftettotal]]))</f>
        <v>1.2454428893921135</v>
      </c>
      <c r="O416" s="32">
        <f>IF(Tabell2[[#This Row],[Befvekst10]]&lt;=F$427,F$427,IF(Tabell2[[#This Row],[Befvekst10]]&gt;=F$428,F$428,Tabell2[[#This Row],[Befvekst10]]))</f>
        <v>-4.1052885776382553E-2</v>
      </c>
      <c r="P416" s="32">
        <f>IF(Tabell2[[#This Row],[Kvinneandel]]&lt;=G$427,G$427,IF(Tabell2[[#This Row],[Kvinneandel]]&gt;=G$428,G$428,Tabell2[[#This Row],[Kvinneandel]]))</f>
        <v>0.10400402921178545</v>
      </c>
      <c r="Q416" s="32">
        <f>IF(Tabell2[[#This Row],[Eldreandel]]&lt;=H$427,H$427,IF(Tabell2[[#This Row],[Eldreandel]]&gt;=H$428,H$428,Tabell2[[#This Row],[Eldreandel]]))</f>
        <v>0.17753714429614706</v>
      </c>
      <c r="R416" s="32">
        <f>IF(Tabell2[[#This Row],[Sysselsettingsvekst10]]&lt;=I$427,I$427,IF(Tabell2[[#This Row],[Sysselsettingsvekst10]]&gt;=I$428,I$428,Tabell2[[#This Row],[Sysselsettingsvekst10]]))</f>
        <v>-7.291666666666663E-2</v>
      </c>
      <c r="S416" s="32">
        <f>IF(Tabell2[[#This Row],[Yrkesaktivandel]]&lt;=J$427,J$427,IF(Tabell2[[#This Row],[Yrkesaktivandel]]&gt;=J$428,J$428,Tabell2[[#This Row],[Yrkesaktivandel]]))</f>
        <v>0.81161896625373775</v>
      </c>
      <c r="T416" s="67">
        <f>IF(Tabell2[[#This Row],[Inntekt]]&lt;=K$427,K$427,IF(Tabell2[[#This Row],[Inntekt]]&gt;=K$428,K$428,Tabell2[[#This Row],[Inntekt]]))</f>
        <v>387700</v>
      </c>
      <c r="U416" s="10">
        <f>IF(Tabell2[[#This Row],[NIBR11-T]]&lt;=L$430,100,IF(Tabell2[[#This Row],[NIBR11-T]]&gt;=L$429,0,100*(L$429-Tabell2[[#This Row],[NIBR11-T]])/L$432))</f>
        <v>20</v>
      </c>
      <c r="V416" s="10">
        <f>(M$429-Tabell2[[#This Row],[ReisetidOslo-T]])*100/M$432</f>
        <v>0</v>
      </c>
      <c r="W416" s="10">
        <f>100-(N$429-Tabell2[[#This Row],[Beftettotal-T]])*100/N$432</f>
        <v>0</v>
      </c>
      <c r="X416" s="10">
        <f>100-(O$429-Tabell2[[#This Row],[Befvekst10-T]])*100/O$432</f>
        <v>5.8041232765433506</v>
      </c>
      <c r="Y416" s="10">
        <f>100-(P$429-Tabell2[[#This Row],[Kvinneandel-T]])*100/P$432</f>
        <v>37.20887790999717</v>
      </c>
      <c r="Z416" s="10">
        <f>(Q$429-Tabell2[[#This Row],[Eldreandel-T]])*100/Q$432</f>
        <v>49.071246499687248</v>
      </c>
      <c r="AA416" s="10">
        <f>100-(R$429-Tabell2[[#This Row],[Sysselsettingsvekst10-T]])*100/R$432</f>
        <v>11.853765407906835</v>
      </c>
      <c r="AB416" s="10">
        <f>100-(S$429-Tabell2[[#This Row],[Yrkesaktivandel-T]])*100/S$432</f>
        <v>11.304116576478478</v>
      </c>
      <c r="AC416" s="10">
        <f>100-(T$429-Tabell2[[#This Row],[Inntekt-T]])*100/T$432</f>
        <v>31.733866488948124</v>
      </c>
      <c r="AD416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14.964005723126235</v>
      </c>
    </row>
    <row r="417" spans="1:30" x14ac:dyDescent="0.25">
      <c r="A417" s="2" t="s">
        <v>364</v>
      </c>
      <c r="B417" s="2">
        <v>415</v>
      </c>
      <c r="C417">
        <f>'Rådata-K'!N416</f>
        <v>11</v>
      </c>
      <c r="D417" s="30">
        <f>'Rådata-K'!M416</f>
        <v>340.875</v>
      </c>
      <c r="E417" s="32">
        <f>'Rådata-K'!O416</f>
        <v>0.49441128196664191</v>
      </c>
      <c r="F417" s="32">
        <f>'Rådata-K'!P416</f>
        <v>-6.1608075182735811E-2</v>
      </c>
      <c r="G417" s="32">
        <f>'Rådata-K'!Q416</f>
        <v>0.11795252225519288</v>
      </c>
      <c r="H417" s="32">
        <f>'Rådata-K'!R416</f>
        <v>0.14799703264094954</v>
      </c>
      <c r="I417" s="32">
        <f>'Rådata-K'!S416</f>
        <v>5.8565153733527442E-3</v>
      </c>
      <c r="J417" s="32">
        <f>'Rådata-K'!T416</f>
        <v>0.84394124847001228</v>
      </c>
      <c r="K417" s="67">
        <f>'Rådata-K'!L416</f>
        <v>351800</v>
      </c>
      <c r="L417" s="18">
        <f>Tabell2[[#This Row],[NIBR11]]</f>
        <v>11</v>
      </c>
      <c r="M417" s="32">
        <f>IF(Tabell2[[#This Row],[ReisetidOslo]]&lt;=D$427,D$427,IF(Tabell2[[#This Row],[ReisetidOslo]]&gt;=D$428,D$428,Tabell2[[#This Row],[ReisetidOslo]]))</f>
        <v>286.73125000000005</v>
      </c>
      <c r="N417" s="32">
        <f>IF(Tabell2[[#This Row],[Beftettotal]]&lt;=E$427,E$427,IF(Tabell2[[#This Row],[Beftettotal]]&gt;=E$428,E$428,Tabell2[[#This Row],[Beftettotal]]))</f>
        <v>1.2454428893921135</v>
      </c>
      <c r="O417" s="32">
        <f>IF(Tabell2[[#This Row],[Befvekst10]]&lt;=F$427,F$427,IF(Tabell2[[#This Row],[Befvekst10]]&gt;=F$428,F$428,Tabell2[[#This Row],[Befvekst10]]))</f>
        <v>-5.4526569027269343E-2</v>
      </c>
      <c r="P417" s="32">
        <f>IF(Tabell2[[#This Row],[Kvinneandel]]&lt;=G$427,G$427,IF(Tabell2[[#This Row],[Kvinneandel]]&gt;=G$428,G$428,Tabell2[[#This Row],[Kvinneandel]]))</f>
        <v>0.11795252225519288</v>
      </c>
      <c r="Q417" s="32">
        <f>IF(Tabell2[[#This Row],[Eldreandel]]&lt;=H$427,H$427,IF(Tabell2[[#This Row],[Eldreandel]]&gt;=H$428,H$428,Tabell2[[#This Row],[Eldreandel]]))</f>
        <v>0.14799703264094954</v>
      </c>
      <c r="R417" s="32">
        <f>IF(Tabell2[[#This Row],[Sysselsettingsvekst10]]&lt;=I$427,I$427,IF(Tabell2[[#This Row],[Sysselsettingsvekst10]]&gt;=I$428,I$428,Tabell2[[#This Row],[Sysselsettingsvekst10]]))</f>
        <v>5.8565153733527442E-3</v>
      </c>
      <c r="S417" s="32">
        <f>IF(Tabell2[[#This Row],[Yrkesaktivandel]]&lt;=J$427,J$427,IF(Tabell2[[#This Row],[Yrkesaktivandel]]&gt;=J$428,J$428,Tabell2[[#This Row],[Yrkesaktivandel]]))</f>
        <v>0.84394124847001228</v>
      </c>
      <c r="T417" s="67">
        <f>IF(Tabell2[[#This Row],[Inntekt]]&lt;=K$427,K$427,IF(Tabell2[[#This Row],[Inntekt]]&gt;=K$428,K$428,Tabell2[[#This Row],[Inntekt]]))</f>
        <v>359130</v>
      </c>
      <c r="U417" s="10">
        <f>IF(Tabell2[[#This Row],[NIBR11-T]]&lt;=L$430,100,IF(Tabell2[[#This Row],[NIBR11-T]]&gt;=L$429,0,100*(L$429-Tabell2[[#This Row],[NIBR11-T]])/L$432))</f>
        <v>0</v>
      </c>
      <c r="V417" s="10">
        <f>(M$429-Tabell2[[#This Row],[ReisetidOslo-T]])*100/M$432</f>
        <v>0</v>
      </c>
      <c r="W417" s="10">
        <f>100-(N$429-Tabell2[[#This Row],[Beftettotal-T]])*100/N$432</f>
        <v>0</v>
      </c>
      <c r="X417" s="10">
        <f>100-(O$429-Tabell2[[#This Row],[Befvekst10-T]])*100/O$432</f>
        <v>0</v>
      </c>
      <c r="Y417" s="10">
        <f>100-(P$429-Tabell2[[#This Row],[Kvinneandel-T]])*100/P$432</f>
        <v>74.051077120516183</v>
      </c>
      <c r="Z417" s="10">
        <f>(Q$429-Tabell2[[#This Row],[Eldreandel-T]])*100/Q$432</f>
        <v>80.933573382486941</v>
      </c>
      <c r="AA417" s="10">
        <f>100-(R$429-Tabell2[[#This Row],[Sysselsettingsvekst10-T]])*100/R$432</f>
        <v>39.412101218050552</v>
      </c>
      <c r="AB417" s="10">
        <f>100-(S$429-Tabell2[[#This Row],[Yrkesaktivandel-T]])*100/S$432</f>
        <v>36.374696313014539</v>
      </c>
      <c r="AC417" s="10">
        <f>100-(T$429-Tabell2[[#This Row],[Inntekt-T]])*100/T$432</f>
        <v>0</v>
      </c>
      <c r="AD417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15.327912278256665</v>
      </c>
    </row>
    <row r="418" spans="1:30" x14ac:dyDescent="0.25">
      <c r="A418" s="2" t="s">
        <v>365</v>
      </c>
      <c r="B418" s="2">
        <v>416</v>
      </c>
      <c r="C418">
        <f>'Rådata-K'!N417</f>
        <v>11</v>
      </c>
      <c r="D418" s="30">
        <f>'Rådata-K'!M417</f>
        <v>389.1875</v>
      </c>
      <c r="E418" s="32">
        <f>'Rådata-K'!O417</f>
        <v>0.38445862155685506</v>
      </c>
      <c r="F418" s="32">
        <f>'Rådata-K'!P417</f>
        <v>-1.9896831245394209E-2</v>
      </c>
      <c r="G418" s="32">
        <f>'Rådata-K'!Q417</f>
        <v>8.7969924812030073E-2</v>
      </c>
      <c r="H418" s="32">
        <f>'Rådata-K'!R417</f>
        <v>0.18421052631578946</v>
      </c>
      <c r="I418" s="32">
        <f>'Rådata-K'!S417</f>
        <v>-4.6153846153846101E-2</v>
      </c>
      <c r="J418" s="32">
        <f>'Rådata-K'!T417</f>
        <v>0.77556440903054447</v>
      </c>
      <c r="K418" s="67">
        <f>'Rådata-K'!L417</f>
        <v>346300</v>
      </c>
      <c r="L418" s="18">
        <f>Tabell2[[#This Row],[NIBR11]]</f>
        <v>11</v>
      </c>
      <c r="M418" s="32">
        <f>IF(Tabell2[[#This Row],[ReisetidOslo]]&lt;=D$427,D$427,IF(Tabell2[[#This Row],[ReisetidOslo]]&gt;=D$428,D$428,Tabell2[[#This Row],[ReisetidOslo]]))</f>
        <v>286.73125000000005</v>
      </c>
      <c r="N418" s="32">
        <f>IF(Tabell2[[#This Row],[Beftettotal]]&lt;=E$427,E$427,IF(Tabell2[[#This Row],[Beftettotal]]&gt;=E$428,E$428,Tabell2[[#This Row],[Beftettotal]]))</f>
        <v>1.2454428893921135</v>
      </c>
      <c r="O418" s="32">
        <f>IF(Tabell2[[#This Row],[Befvekst10]]&lt;=F$427,F$427,IF(Tabell2[[#This Row],[Befvekst10]]&gt;=F$428,F$428,Tabell2[[#This Row],[Befvekst10]]))</f>
        <v>-1.9896831245394209E-2</v>
      </c>
      <c r="P418" s="32">
        <f>IF(Tabell2[[#This Row],[Kvinneandel]]&lt;=G$427,G$427,IF(Tabell2[[#This Row],[Kvinneandel]]&gt;=G$428,G$428,Tabell2[[#This Row],[Kvinneandel]]))</f>
        <v>8.9916711250255951E-2</v>
      </c>
      <c r="Q418" s="32">
        <f>IF(Tabell2[[#This Row],[Eldreandel]]&lt;=H$427,H$427,IF(Tabell2[[#This Row],[Eldreandel]]&gt;=H$428,H$428,Tabell2[[#This Row],[Eldreandel]]))</f>
        <v>0.18421052631578946</v>
      </c>
      <c r="R418" s="32">
        <f>IF(Tabell2[[#This Row],[Sysselsettingsvekst10]]&lt;=I$427,I$427,IF(Tabell2[[#This Row],[Sysselsettingsvekst10]]&gt;=I$428,I$428,Tabell2[[#This Row],[Sysselsettingsvekst10]]))</f>
        <v>-4.6153846153846101E-2</v>
      </c>
      <c r="S418" s="32">
        <f>IF(Tabell2[[#This Row],[Yrkesaktivandel]]&lt;=J$427,J$427,IF(Tabell2[[#This Row],[Yrkesaktivandel]]&gt;=J$428,J$428,Tabell2[[#This Row],[Yrkesaktivandel]]))</f>
        <v>0.7970451171433347</v>
      </c>
      <c r="T418" s="67">
        <f>IF(Tabell2[[#This Row],[Inntekt]]&lt;=K$427,K$427,IF(Tabell2[[#This Row],[Inntekt]]&gt;=K$428,K$428,Tabell2[[#This Row],[Inntekt]]))</f>
        <v>359130</v>
      </c>
      <c r="U418" s="10">
        <f>IF(Tabell2[[#This Row],[NIBR11-T]]&lt;=L$430,100,IF(Tabell2[[#This Row],[NIBR11-T]]&gt;=L$429,0,100*(L$429-Tabell2[[#This Row],[NIBR11-T]])/L$432))</f>
        <v>0</v>
      </c>
      <c r="V418" s="10">
        <f>(M$429-Tabell2[[#This Row],[ReisetidOslo-T]])*100/M$432</f>
        <v>0</v>
      </c>
      <c r="W418" s="10">
        <f>100-(N$429-Tabell2[[#This Row],[Beftettotal-T]])*100/N$432</f>
        <v>0</v>
      </c>
      <c r="X418" s="10">
        <f>100-(O$429-Tabell2[[#This Row],[Befvekst10-T]])*100/O$432</f>
        <v>14.917618544071487</v>
      </c>
      <c r="Y418" s="10">
        <f>100-(P$429-Tabell2[[#This Row],[Kvinneandel-T]])*100/P$432</f>
        <v>0</v>
      </c>
      <c r="Z418" s="10">
        <f>(Q$429-Tabell2[[#This Row],[Eldreandel-T]])*100/Q$432</f>
        <v>41.87325477218365</v>
      </c>
      <c r="AA418" s="10">
        <f>100-(R$429-Tabell2[[#This Row],[Sysselsettingsvekst10-T]])*100/R$432</f>
        <v>21.216581226927786</v>
      </c>
      <c r="AB418" s="10">
        <f>100-(S$429-Tabell2[[#This Row],[Yrkesaktivandel-T]])*100/S$432</f>
        <v>0</v>
      </c>
      <c r="AC418" s="10">
        <f>100-(T$429-Tabell2[[#This Row],[Inntekt-T]])*100/T$432</f>
        <v>0</v>
      </c>
      <c r="AD418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7.1988445701162593</v>
      </c>
    </row>
    <row r="419" spans="1:30" x14ac:dyDescent="0.25">
      <c r="A419" s="2" t="s">
        <v>366</v>
      </c>
      <c r="B419" s="2">
        <v>417</v>
      </c>
      <c r="C419">
        <f>'Rådata-K'!N418</f>
        <v>11</v>
      </c>
      <c r="D419" s="30">
        <f>'Rådata-K'!M418</f>
        <v>366.125</v>
      </c>
      <c r="E419" s="32">
        <f>'Rådata-K'!O418</f>
        <v>0.8027733453831708</v>
      </c>
      <c r="F419" s="32">
        <f>'Rådata-K'!P418</f>
        <v>8.6998087954110792E-2</v>
      </c>
      <c r="G419" s="32">
        <f>'Rådata-K'!Q418</f>
        <v>9.7625329815303433E-2</v>
      </c>
      <c r="H419" s="32">
        <f>'Rådata-K'!R418</f>
        <v>0.17941952506596306</v>
      </c>
      <c r="I419" s="32">
        <f>'Rådata-K'!S418</f>
        <v>0.18829516539440205</v>
      </c>
      <c r="J419" s="32">
        <f>'Rådata-K'!T418</f>
        <v>0.744413407821229</v>
      </c>
      <c r="K419" s="67">
        <f>'Rådata-K'!L418</f>
        <v>339100</v>
      </c>
      <c r="L419" s="18">
        <f>Tabell2[[#This Row],[NIBR11]]</f>
        <v>11</v>
      </c>
      <c r="M419" s="32">
        <f>IF(Tabell2[[#This Row],[ReisetidOslo]]&lt;=D$427,D$427,IF(Tabell2[[#This Row],[ReisetidOslo]]&gt;=D$428,D$428,Tabell2[[#This Row],[ReisetidOslo]]))</f>
        <v>286.73125000000005</v>
      </c>
      <c r="N419" s="32">
        <f>IF(Tabell2[[#This Row],[Beftettotal]]&lt;=E$427,E$427,IF(Tabell2[[#This Row],[Beftettotal]]&gt;=E$428,E$428,Tabell2[[#This Row],[Beftettotal]]))</f>
        <v>1.2454428893921135</v>
      </c>
      <c r="O419" s="32">
        <f>IF(Tabell2[[#This Row],[Befvekst10]]&lt;=F$427,F$427,IF(Tabell2[[#This Row],[Befvekst10]]&gt;=F$428,F$428,Tabell2[[#This Row],[Befvekst10]]))</f>
        <v>8.6998087954110792E-2</v>
      </c>
      <c r="P419" s="32">
        <f>IF(Tabell2[[#This Row],[Kvinneandel]]&lt;=G$427,G$427,IF(Tabell2[[#This Row],[Kvinneandel]]&gt;=G$428,G$428,Tabell2[[#This Row],[Kvinneandel]]))</f>
        <v>9.7625329815303433E-2</v>
      </c>
      <c r="Q419" s="32">
        <f>IF(Tabell2[[#This Row],[Eldreandel]]&lt;=H$427,H$427,IF(Tabell2[[#This Row],[Eldreandel]]&gt;=H$428,H$428,Tabell2[[#This Row],[Eldreandel]]))</f>
        <v>0.17941952506596306</v>
      </c>
      <c r="R419" s="32">
        <f>IF(Tabell2[[#This Row],[Sysselsettingsvekst10]]&lt;=I$427,I$427,IF(Tabell2[[#This Row],[Sysselsettingsvekst10]]&gt;=I$428,I$428,Tabell2[[#This Row],[Sysselsettingsvekst10]]))</f>
        <v>0.17904192152607218</v>
      </c>
      <c r="S419" s="32">
        <f>IF(Tabell2[[#This Row],[Yrkesaktivandel]]&lt;=J$427,J$427,IF(Tabell2[[#This Row],[Yrkesaktivandel]]&gt;=J$428,J$428,Tabell2[[#This Row],[Yrkesaktivandel]]))</f>
        <v>0.7970451171433347</v>
      </c>
      <c r="T419" s="67">
        <f>IF(Tabell2[[#This Row],[Inntekt]]&lt;=K$427,K$427,IF(Tabell2[[#This Row],[Inntekt]]&gt;=K$428,K$428,Tabell2[[#This Row],[Inntekt]]))</f>
        <v>359130</v>
      </c>
      <c r="U419" s="10">
        <f>IF(Tabell2[[#This Row],[NIBR11-T]]&lt;=L$430,100,IF(Tabell2[[#This Row],[NIBR11-T]]&gt;=L$429,0,100*(L$429-Tabell2[[#This Row],[NIBR11-T]])/L$432))</f>
        <v>0</v>
      </c>
      <c r="V419" s="10">
        <f>(M$429-Tabell2[[#This Row],[ReisetidOslo-T]])*100/M$432</f>
        <v>0</v>
      </c>
      <c r="W419" s="10">
        <f>100-(N$429-Tabell2[[#This Row],[Beftettotal-T]])*100/N$432</f>
        <v>0</v>
      </c>
      <c r="X419" s="10">
        <f>100-(O$429-Tabell2[[#This Row],[Befvekst10-T]])*100/O$432</f>
        <v>60.965256529715347</v>
      </c>
      <c r="Y419" s="10">
        <f>100-(P$429-Tabell2[[#This Row],[Kvinneandel-T]])*100/P$432</f>
        <v>20.360798828057938</v>
      </c>
      <c r="Z419" s="10">
        <f>(Q$429-Tabell2[[#This Row],[Eldreandel-T]])*100/Q$432</f>
        <v>47.040887504912732</v>
      </c>
      <c r="AA419" s="10">
        <f>100-(R$429-Tabell2[[#This Row],[Sysselsettingsvekst10-T]])*100/R$432</f>
        <v>100</v>
      </c>
      <c r="AB419" s="10">
        <f>100-(S$429-Tabell2[[#This Row],[Yrkesaktivandel-T]])*100/S$432</f>
        <v>0</v>
      </c>
      <c r="AC419" s="10">
        <f>100-(T$429-Tabell2[[#This Row],[Inntekt-T]])*100/T$432</f>
        <v>0</v>
      </c>
      <c r="AD419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25.563135622591602</v>
      </c>
    </row>
    <row r="420" spans="1:30" x14ac:dyDescent="0.25">
      <c r="A420" s="2" t="s">
        <v>367</v>
      </c>
      <c r="B420" s="2">
        <v>418</v>
      </c>
      <c r="C420">
        <f>'Rådata-K'!N419</f>
        <v>11</v>
      </c>
      <c r="D420" s="30">
        <f>'Rådata-K'!M419</f>
        <v>400.4375</v>
      </c>
      <c r="E420" s="32">
        <f>'Rådata-K'!O419</f>
        <v>0.88341742587673167</v>
      </c>
      <c r="F420" s="32">
        <f>'Rådata-K'!P419</f>
        <v>-8.7476979742173167E-2</v>
      </c>
      <c r="G420" s="32">
        <f>'Rådata-K'!Q419</f>
        <v>9.7880928355196767E-2</v>
      </c>
      <c r="H420" s="32">
        <f>'Rådata-K'!R419</f>
        <v>0.20686175580221999</v>
      </c>
      <c r="I420" s="32">
        <f>'Rådata-K'!S419</f>
        <v>7.1599045346062429E-3</v>
      </c>
      <c r="J420" s="32">
        <f>'Rådata-K'!T419</f>
        <v>0.80689655172413788</v>
      </c>
      <c r="K420" s="67">
        <f>'Rådata-K'!L419</f>
        <v>367600</v>
      </c>
      <c r="L420" s="18">
        <f>Tabell2[[#This Row],[NIBR11]]</f>
        <v>11</v>
      </c>
      <c r="M420" s="32">
        <f>IF(Tabell2[[#This Row],[ReisetidOslo]]&lt;=D$427,D$427,IF(Tabell2[[#This Row],[ReisetidOslo]]&gt;=D$428,D$428,Tabell2[[#This Row],[ReisetidOslo]]))</f>
        <v>286.73125000000005</v>
      </c>
      <c r="N420" s="32">
        <f>IF(Tabell2[[#This Row],[Beftettotal]]&lt;=E$427,E$427,IF(Tabell2[[#This Row],[Beftettotal]]&gt;=E$428,E$428,Tabell2[[#This Row],[Beftettotal]]))</f>
        <v>1.2454428893921135</v>
      </c>
      <c r="O420" s="32">
        <f>IF(Tabell2[[#This Row],[Befvekst10]]&lt;=F$427,F$427,IF(Tabell2[[#This Row],[Befvekst10]]&gt;=F$428,F$428,Tabell2[[#This Row],[Befvekst10]]))</f>
        <v>-5.4526569027269343E-2</v>
      </c>
      <c r="P420" s="32">
        <f>IF(Tabell2[[#This Row],[Kvinneandel]]&lt;=G$427,G$427,IF(Tabell2[[#This Row],[Kvinneandel]]&gt;=G$428,G$428,Tabell2[[#This Row],[Kvinneandel]]))</f>
        <v>9.7880928355196767E-2</v>
      </c>
      <c r="Q420" s="32">
        <f>IF(Tabell2[[#This Row],[Eldreandel]]&lt;=H$427,H$427,IF(Tabell2[[#This Row],[Eldreandel]]&gt;=H$428,H$428,Tabell2[[#This Row],[Eldreandel]]))</f>
        <v>0.20686175580221999</v>
      </c>
      <c r="R420" s="32">
        <f>IF(Tabell2[[#This Row],[Sysselsettingsvekst10]]&lt;=I$427,I$427,IF(Tabell2[[#This Row],[Sysselsettingsvekst10]]&gt;=I$428,I$428,Tabell2[[#This Row],[Sysselsettingsvekst10]]))</f>
        <v>7.1599045346062429E-3</v>
      </c>
      <c r="S420" s="32">
        <f>IF(Tabell2[[#This Row],[Yrkesaktivandel]]&lt;=J$427,J$427,IF(Tabell2[[#This Row],[Yrkesaktivandel]]&gt;=J$428,J$428,Tabell2[[#This Row],[Yrkesaktivandel]]))</f>
        <v>0.80689655172413788</v>
      </c>
      <c r="T420" s="67">
        <f>IF(Tabell2[[#This Row],[Inntekt]]&lt;=K$427,K$427,IF(Tabell2[[#This Row],[Inntekt]]&gt;=K$428,K$428,Tabell2[[#This Row],[Inntekt]]))</f>
        <v>367600</v>
      </c>
      <c r="U420" s="10">
        <f>IF(Tabell2[[#This Row],[NIBR11-T]]&lt;=L$430,100,IF(Tabell2[[#This Row],[NIBR11-T]]&gt;=L$429,0,100*(L$429-Tabell2[[#This Row],[NIBR11-T]])/L$432))</f>
        <v>0</v>
      </c>
      <c r="V420" s="10">
        <f>(M$429-Tabell2[[#This Row],[ReisetidOslo-T]])*100/M$432</f>
        <v>0</v>
      </c>
      <c r="W420" s="10">
        <f>100-(N$429-Tabell2[[#This Row],[Beftettotal-T]])*100/N$432</f>
        <v>0</v>
      </c>
      <c r="X420" s="10">
        <f>100-(O$429-Tabell2[[#This Row],[Befvekst10-T]])*100/O$432</f>
        <v>0</v>
      </c>
      <c r="Y420" s="10">
        <f>100-(P$429-Tabell2[[#This Row],[Kvinneandel-T]])*100/P$432</f>
        <v>21.03591206755722</v>
      </c>
      <c r="Z420" s="10">
        <f>(Q$429-Tabell2[[#This Row],[Eldreandel-T]])*100/Q$432</f>
        <v>17.441360721878816</v>
      </c>
      <c r="AA420" s="10">
        <f>100-(R$429-Tabell2[[#This Row],[Sysselsettingsvekst10-T]])*100/R$432</f>
        <v>39.868084273030831</v>
      </c>
      <c r="AB420" s="10">
        <f>100-(S$429-Tabell2[[#This Row],[Yrkesaktivandel-T]])*100/S$432</f>
        <v>7.6412047430530095</v>
      </c>
      <c r="AC420" s="10">
        <f>100-(T$429-Tabell2[[#This Row],[Inntekt-T]])*100/T$432</f>
        <v>9.4079751194046395</v>
      </c>
      <c r="AD420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7.6155900530206502</v>
      </c>
    </row>
    <row r="421" spans="1:30" x14ac:dyDescent="0.25">
      <c r="A421" s="2" t="s">
        <v>368</v>
      </c>
      <c r="B421" s="2">
        <v>419</v>
      </c>
      <c r="C421">
        <f>'Rådata-K'!N420</f>
        <v>11</v>
      </c>
      <c r="D421" s="30">
        <f>'Rådata-K'!M420</f>
        <v>323.375</v>
      </c>
      <c r="E421" s="32">
        <f>'Rådata-K'!O420</f>
        <v>0.7185259234576129</v>
      </c>
      <c r="F421" s="32">
        <f>'Rådata-K'!P420</f>
        <v>-2.282645182947296E-2</v>
      </c>
      <c r="G421" s="32">
        <f>'Rådata-K'!Q420</f>
        <v>9.7560975609756101E-2</v>
      </c>
      <c r="H421" s="32">
        <f>'Rådata-K'!R420</f>
        <v>0.18481621435932669</v>
      </c>
      <c r="I421" s="32">
        <f>'Rådata-K'!S420</f>
        <v>8.6046511627906996E-2</v>
      </c>
      <c r="J421" s="32">
        <f>'Rådata-K'!T420</f>
        <v>0.85209192692987623</v>
      </c>
      <c r="K421" s="67">
        <f>'Rådata-K'!L420</f>
        <v>379400</v>
      </c>
      <c r="L421" s="18">
        <f>Tabell2[[#This Row],[NIBR11]]</f>
        <v>11</v>
      </c>
      <c r="M421" s="32">
        <f>IF(Tabell2[[#This Row],[ReisetidOslo]]&lt;=D$427,D$427,IF(Tabell2[[#This Row],[ReisetidOslo]]&gt;=D$428,D$428,Tabell2[[#This Row],[ReisetidOslo]]))</f>
        <v>286.73125000000005</v>
      </c>
      <c r="N421" s="32">
        <f>IF(Tabell2[[#This Row],[Beftettotal]]&lt;=E$427,E$427,IF(Tabell2[[#This Row],[Beftettotal]]&gt;=E$428,E$428,Tabell2[[#This Row],[Beftettotal]]))</f>
        <v>1.2454428893921135</v>
      </c>
      <c r="O421" s="32">
        <f>IF(Tabell2[[#This Row],[Befvekst10]]&lt;=F$427,F$427,IF(Tabell2[[#This Row],[Befvekst10]]&gt;=F$428,F$428,Tabell2[[#This Row],[Befvekst10]]))</f>
        <v>-2.282645182947296E-2</v>
      </c>
      <c r="P421" s="32">
        <f>IF(Tabell2[[#This Row],[Kvinneandel]]&lt;=G$427,G$427,IF(Tabell2[[#This Row],[Kvinneandel]]&gt;=G$428,G$428,Tabell2[[#This Row],[Kvinneandel]]))</f>
        <v>9.7560975609756101E-2</v>
      </c>
      <c r="Q421" s="32">
        <f>IF(Tabell2[[#This Row],[Eldreandel]]&lt;=H$427,H$427,IF(Tabell2[[#This Row],[Eldreandel]]&gt;=H$428,H$428,Tabell2[[#This Row],[Eldreandel]]))</f>
        <v>0.18481621435932669</v>
      </c>
      <c r="R421" s="32">
        <f>IF(Tabell2[[#This Row],[Sysselsettingsvekst10]]&lt;=I$427,I$427,IF(Tabell2[[#This Row],[Sysselsettingsvekst10]]&gt;=I$428,I$428,Tabell2[[#This Row],[Sysselsettingsvekst10]]))</f>
        <v>8.6046511627906996E-2</v>
      </c>
      <c r="S421" s="32">
        <f>IF(Tabell2[[#This Row],[Yrkesaktivandel]]&lt;=J$427,J$427,IF(Tabell2[[#This Row],[Yrkesaktivandel]]&gt;=J$428,J$428,Tabell2[[#This Row],[Yrkesaktivandel]]))</f>
        <v>0.85209192692987623</v>
      </c>
      <c r="T421" s="67">
        <f>IF(Tabell2[[#This Row],[Inntekt]]&lt;=K$427,K$427,IF(Tabell2[[#This Row],[Inntekt]]&gt;=K$428,K$428,Tabell2[[#This Row],[Inntekt]]))</f>
        <v>379400</v>
      </c>
      <c r="U421" s="10">
        <f>IF(Tabell2[[#This Row],[NIBR11-T]]&lt;=L$430,100,IF(Tabell2[[#This Row],[NIBR11-T]]&gt;=L$429,0,100*(L$429-Tabell2[[#This Row],[NIBR11-T]])/L$432))</f>
        <v>0</v>
      </c>
      <c r="V421" s="10">
        <f>(M$429-Tabell2[[#This Row],[ReisetidOslo-T]])*100/M$432</f>
        <v>0</v>
      </c>
      <c r="W421" s="10">
        <f>100-(N$429-Tabell2[[#This Row],[Beftettotal-T]])*100/N$432</f>
        <v>0</v>
      </c>
      <c r="X421" s="10">
        <f>100-(O$429-Tabell2[[#This Row],[Befvekst10-T]])*100/O$432</f>
        <v>13.655611807912479</v>
      </c>
      <c r="Y421" s="10">
        <f>100-(P$429-Tabell2[[#This Row],[Kvinneandel-T]])*100/P$432</f>
        <v>20.190819859474658</v>
      </c>
      <c r="Z421" s="10">
        <f>(Q$429-Tabell2[[#This Row],[Eldreandel-T]])*100/Q$432</f>
        <v>41.21995221674829</v>
      </c>
      <c r="AA421" s="10">
        <f>100-(R$429-Tabell2[[#This Row],[Sysselsettingsvekst10-T]])*100/R$432</f>
        <v>67.466101172939631</v>
      </c>
      <c r="AB421" s="10">
        <f>100-(S$429-Tabell2[[#This Row],[Yrkesaktivandel-T]])*100/S$432</f>
        <v>42.69672001380377</v>
      </c>
      <c r="AC421" s="10">
        <f>100-(T$429-Tabell2[[#This Row],[Inntekt-T]])*100/T$432</f>
        <v>22.514717316450074</v>
      </c>
      <c r="AD421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19.069414815712992</v>
      </c>
    </row>
    <row r="422" spans="1:30" x14ac:dyDescent="0.25">
      <c r="A422" s="2" t="s">
        <v>369</v>
      </c>
      <c r="B422" s="2">
        <v>420</v>
      </c>
      <c r="C422">
        <f>'Rådata-K'!N421</f>
        <v>7</v>
      </c>
      <c r="D422" s="30">
        <f>'Rådata-K'!M421</f>
        <v>308.9375</v>
      </c>
      <c r="E422" s="32">
        <f>'Rådata-K'!O421</f>
        <v>0.66184607033245413</v>
      </c>
      <c r="F422" s="32">
        <f>'Rådata-K'!P421</f>
        <v>7.5791855203619862E-2</v>
      </c>
      <c r="G422" s="32">
        <f>'Rådata-K'!Q421</f>
        <v>0.10304942166140904</v>
      </c>
      <c r="H422" s="32">
        <f>'Rådata-K'!R421</f>
        <v>0.21345951629863302</v>
      </c>
      <c r="I422" s="32">
        <f>'Rådata-K'!S421</f>
        <v>-8.9635854341736709E-2</v>
      </c>
      <c r="J422" s="32">
        <f>'Rådata-K'!T421</f>
        <v>0.76310679611650489</v>
      </c>
      <c r="K422" s="67">
        <f>'Rådata-K'!L421</f>
        <v>356200</v>
      </c>
      <c r="L422" s="18">
        <f>Tabell2[[#This Row],[NIBR11]]</f>
        <v>7</v>
      </c>
      <c r="M422" s="32">
        <f>IF(Tabell2[[#This Row],[ReisetidOslo]]&lt;=D$427,D$427,IF(Tabell2[[#This Row],[ReisetidOslo]]&gt;=D$428,D$428,Tabell2[[#This Row],[ReisetidOslo]]))</f>
        <v>286.73125000000005</v>
      </c>
      <c r="N422" s="32">
        <f>IF(Tabell2[[#This Row],[Beftettotal]]&lt;=E$427,E$427,IF(Tabell2[[#This Row],[Beftettotal]]&gt;=E$428,E$428,Tabell2[[#This Row],[Beftettotal]]))</f>
        <v>1.2454428893921135</v>
      </c>
      <c r="O422" s="32">
        <f>IF(Tabell2[[#This Row],[Befvekst10]]&lt;=F$427,F$427,IF(Tabell2[[#This Row],[Befvekst10]]&gt;=F$428,F$428,Tabell2[[#This Row],[Befvekst10]]))</f>
        <v>7.5791855203619862E-2</v>
      </c>
      <c r="P422" s="32">
        <f>IF(Tabell2[[#This Row],[Kvinneandel]]&lt;=G$427,G$427,IF(Tabell2[[#This Row],[Kvinneandel]]&gt;=G$428,G$428,Tabell2[[#This Row],[Kvinneandel]]))</f>
        <v>0.10304942166140904</v>
      </c>
      <c r="Q422" s="32">
        <f>IF(Tabell2[[#This Row],[Eldreandel]]&lt;=H$427,H$427,IF(Tabell2[[#This Row],[Eldreandel]]&gt;=H$428,H$428,Tabell2[[#This Row],[Eldreandel]]))</f>
        <v>0.21345951629863302</v>
      </c>
      <c r="R422" s="32">
        <f>IF(Tabell2[[#This Row],[Sysselsettingsvekst10]]&lt;=I$427,I$427,IF(Tabell2[[#This Row],[Sysselsettingsvekst10]]&gt;=I$428,I$428,Tabell2[[#This Row],[Sysselsettingsvekst10]]))</f>
        <v>-8.9635854341736709E-2</v>
      </c>
      <c r="S422" s="32">
        <f>IF(Tabell2[[#This Row],[Yrkesaktivandel]]&lt;=J$427,J$427,IF(Tabell2[[#This Row],[Yrkesaktivandel]]&gt;=J$428,J$428,Tabell2[[#This Row],[Yrkesaktivandel]]))</f>
        <v>0.7970451171433347</v>
      </c>
      <c r="T422" s="67">
        <f>IF(Tabell2[[#This Row],[Inntekt]]&lt;=K$427,K$427,IF(Tabell2[[#This Row],[Inntekt]]&gt;=K$428,K$428,Tabell2[[#This Row],[Inntekt]]))</f>
        <v>359130</v>
      </c>
      <c r="U422" s="10">
        <f>IF(Tabell2[[#This Row],[NIBR11-T]]&lt;=L$430,100,IF(Tabell2[[#This Row],[NIBR11-T]]&gt;=L$429,0,100*(L$429-Tabell2[[#This Row],[NIBR11-T]])/L$432))</f>
        <v>40</v>
      </c>
      <c r="V422" s="10">
        <f>(M$429-Tabell2[[#This Row],[ReisetidOslo-T]])*100/M$432</f>
        <v>0</v>
      </c>
      <c r="W422" s="10">
        <f>100-(N$429-Tabell2[[#This Row],[Beftettotal-T]])*100/N$432</f>
        <v>0</v>
      </c>
      <c r="X422" s="10">
        <f>100-(O$429-Tabell2[[#This Row],[Befvekst10-T]])*100/O$432</f>
        <v>56.137893800581423</v>
      </c>
      <c r="Y422" s="10">
        <f>100-(P$429-Tabell2[[#This Row],[Kvinneandel-T]])*100/P$432</f>
        <v>34.687469939302034</v>
      </c>
      <c r="Z422" s="10">
        <f>(Q$429-Tabell2[[#This Row],[Eldreandel-T]])*100/Q$432</f>
        <v>10.324935297192006</v>
      </c>
      <c r="AA422" s="10">
        <f>100-(R$429-Tabell2[[#This Row],[Sysselsettingsvekst10-T]])*100/R$432</f>
        <v>6.0046556412311674</v>
      </c>
      <c r="AB422" s="10">
        <f>100-(S$429-Tabell2[[#This Row],[Yrkesaktivandel-T]])*100/S$432</f>
        <v>0</v>
      </c>
      <c r="AC422" s="10">
        <f>100-(T$429-Tabell2[[#This Row],[Inntekt-T]])*100/T$432</f>
        <v>0</v>
      </c>
      <c r="AD422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22.078664586064104</v>
      </c>
    </row>
    <row r="423" spans="1:30" x14ac:dyDescent="0.25">
      <c r="A423" s="2" t="s">
        <v>370</v>
      </c>
      <c r="B423" s="2">
        <v>421</v>
      </c>
      <c r="C423">
        <f>'Rådata-K'!N422</f>
        <v>9</v>
      </c>
      <c r="D423" s="30">
        <f>'Rådata-K'!M422</f>
        <v>401.375</v>
      </c>
      <c r="E423" s="32">
        <f>'Rådata-K'!O422</f>
        <v>1.5800992528158804</v>
      </c>
      <c r="F423" s="32">
        <f>'Rådata-K'!P422</f>
        <v>7.2882158069096148E-2</v>
      </c>
      <c r="G423" s="32">
        <f>'Rådata-K'!Q422</f>
        <v>0.11424790471989413</v>
      </c>
      <c r="H423" s="32">
        <f>'Rådata-K'!R422</f>
        <v>0.13895015438906044</v>
      </c>
      <c r="I423" s="32">
        <f>'Rådata-K'!S422</f>
        <v>0.20247933884297531</v>
      </c>
      <c r="J423" s="32">
        <f>'Rådata-K'!T422</f>
        <v>0.8475783475783476</v>
      </c>
      <c r="K423" s="67">
        <f>'Rådata-K'!L422</f>
        <v>376700</v>
      </c>
      <c r="L423" s="18">
        <f>Tabell2[[#This Row],[NIBR11]]</f>
        <v>9</v>
      </c>
      <c r="M423" s="32">
        <f>IF(Tabell2[[#This Row],[ReisetidOslo]]&lt;=D$427,D$427,IF(Tabell2[[#This Row],[ReisetidOslo]]&gt;=D$428,D$428,Tabell2[[#This Row],[ReisetidOslo]]))</f>
        <v>286.73125000000005</v>
      </c>
      <c r="N423" s="32">
        <f>IF(Tabell2[[#This Row],[Beftettotal]]&lt;=E$427,E$427,IF(Tabell2[[#This Row],[Beftettotal]]&gt;=E$428,E$428,Tabell2[[#This Row],[Beftettotal]]))</f>
        <v>1.5800992528158804</v>
      </c>
      <c r="O423" s="32">
        <f>IF(Tabell2[[#This Row],[Befvekst10]]&lt;=F$427,F$427,IF(Tabell2[[#This Row],[Befvekst10]]&gt;=F$428,F$428,Tabell2[[#This Row],[Befvekst10]]))</f>
        <v>7.2882158069096148E-2</v>
      </c>
      <c r="P423" s="32">
        <f>IF(Tabell2[[#This Row],[Kvinneandel]]&lt;=G$427,G$427,IF(Tabell2[[#This Row],[Kvinneandel]]&gt;=G$428,G$428,Tabell2[[#This Row],[Kvinneandel]]))</f>
        <v>0.11424790471989413</v>
      </c>
      <c r="Q423" s="32">
        <f>IF(Tabell2[[#This Row],[Eldreandel]]&lt;=H$427,H$427,IF(Tabell2[[#This Row],[Eldreandel]]&gt;=H$428,H$428,Tabell2[[#This Row],[Eldreandel]]))</f>
        <v>0.13895015438906044</v>
      </c>
      <c r="R423" s="32">
        <f>IF(Tabell2[[#This Row],[Sysselsettingsvekst10]]&lt;=I$427,I$427,IF(Tabell2[[#This Row],[Sysselsettingsvekst10]]&gt;=I$428,I$428,Tabell2[[#This Row],[Sysselsettingsvekst10]]))</f>
        <v>0.17904192152607218</v>
      </c>
      <c r="S423" s="32">
        <f>IF(Tabell2[[#This Row],[Yrkesaktivandel]]&lt;=J$427,J$427,IF(Tabell2[[#This Row],[Yrkesaktivandel]]&gt;=J$428,J$428,Tabell2[[#This Row],[Yrkesaktivandel]]))</f>
        <v>0.8475783475783476</v>
      </c>
      <c r="T423" s="67">
        <f>IF(Tabell2[[#This Row],[Inntekt]]&lt;=K$427,K$427,IF(Tabell2[[#This Row],[Inntekt]]&gt;=K$428,K$428,Tabell2[[#This Row],[Inntekt]]))</f>
        <v>376700</v>
      </c>
      <c r="U423" s="10">
        <f>IF(Tabell2[[#This Row],[NIBR11-T]]&lt;=L$430,100,IF(Tabell2[[#This Row],[NIBR11-T]]&gt;=L$429,0,100*(L$429-Tabell2[[#This Row],[NIBR11-T]])/L$432))</f>
        <v>20</v>
      </c>
      <c r="V423" s="10">
        <f>(M$429-Tabell2[[#This Row],[ReisetidOslo-T]])*100/M$432</f>
        <v>0</v>
      </c>
      <c r="W423" s="10">
        <f>100-(N$429-Tabell2[[#This Row],[Beftettotal-T]])*100/N$432</f>
        <v>0.2494213491763162</v>
      </c>
      <c r="X423" s="10">
        <f>100-(O$429-Tabell2[[#This Row],[Befvekst10-T]])*100/O$432</f>
        <v>54.884469584521646</v>
      </c>
      <c r="Y423" s="10">
        <f>100-(P$429-Tabell2[[#This Row],[Kvinneandel-T]])*100/P$432</f>
        <v>64.266058996370717</v>
      </c>
      <c r="Z423" s="10">
        <f>(Q$429-Tabell2[[#This Row],[Eldreandel-T]])*100/Q$432</f>
        <v>90.691647268435318</v>
      </c>
      <c r="AA423" s="10">
        <f>100-(R$429-Tabell2[[#This Row],[Sysselsettingsvekst10-T]])*100/R$432</f>
        <v>100</v>
      </c>
      <c r="AB423" s="10">
        <f>100-(S$429-Tabell2[[#This Row],[Yrkesaktivandel-T]])*100/S$432</f>
        <v>39.195789903964396</v>
      </c>
      <c r="AC423" s="10">
        <f>100-(T$429-Tabell2[[#This Row],[Inntekt-T]])*100/T$432</f>
        <v>19.515716983227819</v>
      </c>
      <c r="AD423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38.620872053781483</v>
      </c>
    </row>
    <row r="424" spans="1:30" x14ac:dyDescent="0.25">
      <c r="A424" s="2" t="s">
        <v>371</v>
      </c>
      <c r="B424" s="2">
        <v>422</v>
      </c>
      <c r="C424">
        <f>'Rådata-K'!N423</f>
        <v>9</v>
      </c>
      <c r="D424" s="30">
        <f>'Rådata-K'!M423</f>
        <v>237.65625</v>
      </c>
      <c r="E424" s="32">
        <f>'Rådata-K'!O423</f>
        <v>2.567995608800528</v>
      </c>
      <c r="F424" s="32">
        <f>'Rådata-K'!P423</f>
        <v>7.4710221285563705E-2</v>
      </c>
      <c r="G424" s="32">
        <f>'Rådata-K'!Q423</f>
        <v>0.12412981664869105</v>
      </c>
      <c r="H424" s="32">
        <f>'Rådata-K'!R423</f>
        <v>0.14579860770663791</v>
      </c>
      <c r="I424" s="32">
        <f>'Rådata-K'!S423</f>
        <v>0.12687402103378842</v>
      </c>
      <c r="J424" s="32">
        <f>'Rådata-K'!T423</f>
        <v>0.84202875141334199</v>
      </c>
      <c r="K424" s="67">
        <f>'Rådata-K'!L423</f>
        <v>403200</v>
      </c>
      <c r="L424" s="18">
        <f>Tabell2[[#This Row],[NIBR11]]</f>
        <v>9</v>
      </c>
      <c r="M424" s="32">
        <f>IF(Tabell2[[#This Row],[ReisetidOslo]]&lt;=D$427,D$427,IF(Tabell2[[#This Row],[ReisetidOslo]]&gt;=D$428,D$428,Tabell2[[#This Row],[ReisetidOslo]]))</f>
        <v>237.65625</v>
      </c>
      <c r="N424" s="32">
        <f>IF(Tabell2[[#This Row],[Beftettotal]]&lt;=E$427,E$427,IF(Tabell2[[#This Row],[Beftettotal]]&gt;=E$428,E$428,Tabell2[[#This Row],[Beftettotal]]))</f>
        <v>2.567995608800528</v>
      </c>
      <c r="O424" s="32">
        <f>IF(Tabell2[[#This Row],[Befvekst10]]&lt;=F$427,F$427,IF(Tabell2[[#This Row],[Befvekst10]]&gt;=F$428,F$428,Tabell2[[#This Row],[Befvekst10]]))</f>
        <v>7.4710221285563705E-2</v>
      </c>
      <c r="P424" s="32">
        <f>IF(Tabell2[[#This Row],[Kvinneandel]]&lt;=G$427,G$427,IF(Tabell2[[#This Row],[Kvinneandel]]&gt;=G$428,G$428,Tabell2[[#This Row],[Kvinneandel]]))</f>
        <v>0.12412981664869105</v>
      </c>
      <c r="Q424" s="32">
        <f>IF(Tabell2[[#This Row],[Eldreandel]]&lt;=H$427,H$427,IF(Tabell2[[#This Row],[Eldreandel]]&gt;=H$428,H$428,Tabell2[[#This Row],[Eldreandel]]))</f>
        <v>0.14579860770663791</v>
      </c>
      <c r="R424" s="32">
        <f>IF(Tabell2[[#This Row],[Sysselsettingsvekst10]]&lt;=I$427,I$427,IF(Tabell2[[#This Row],[Sysselsettingsvekst10]]&gt;=I$428,I$428,Tabell2[[#This Row],[Sysselsettingsvekst10]]))</f>
        <v>0.12687402103378842</v>
      </c>
      <c r="S424" s="32">
        <f>IF(Tabell2[[#This Row],[Yrkesaktivandel]]&lt;=J$427,J$427,IF(Tabell2[[#This Row],[Yrkesaktivandel]]&gt;=J$428,J$428,Tabell2[[#This Row],[Yrkesaktivandel]]))</f>
        <v>0.84202875141334199</v>
      </c>
      <c r="T424" s="67">
        <f>IF(Tabell2[[#This Row],[Inntekt]]&lt;=K$427,K$427,IF(Tabell2[[#This Row],[Inntekt]]&gt;=K$428,K$428,Tabell2[[#This Row],[Inntekt]]))</f>
        <v>403200</v>
      </c>
      <c r="U424" s="10">
        <f>IF(Tabell2[[#This Row],[NIBR11-T]]&lt;=L$430,100,IF(Tabell2[[#This Row],[NIBR11-T]]&gt;=L$429,0,100*(L$429-Tabell2[[#This Row],[NIBR11-T]])/L$432))</f>
        <v>20</v>
      </c>
      <c r="V424" s="10">
        <f>(M$429-Tabell2[[#This Row],[ReisetidOslo-T]])*100/M$432</f>
        <v>21.143120643287272</v>
      </c>
      <c r="W424" s="10">
        <f>100-(N$429-Tabell2[[#This Row],[Beftettotal-T]])*100/N$432</f>
        <v>0.98570629363452156</v>
      </c>
      <c r="X424" s="10">
        <f>100-(O$429-Tabell2[[#This Row],[Befvekst10-T]])*100/O$432</f>
        <v>55.671953160328108</v>
      </c>
      <c r="Y424" s="10">
        <f>100-(P$429-Tabell2[[#This Row],[Kvinneandel-T]])*100/P$432</f>
        <v>90.367184525025124</v>
      </c>
      <c r="Z424" s="10">
        <f>(Q$429-Tabell2[[#This Row],[Eldreandel-T]])*100/Q$432</f>
        <v>83.304821490887718</v>
      </c>
      <c r="AA424" s="10">
        <f>100-(R$429-Tabell2[[#This Row],[Sysselsettingsvekst10-T]])*100/R$432</f>
        <v>81.749365925752016</v>
      </c>
      <c r="AB424" s="10">
        <f>100-(S$429-Tabell2[[#This Row],[Yrkesaktivandel-T]])*100/S$432</f>
        <v>34.891279714077683</v>
      </c>
      <c r="AC424" s="10">
        <f>100-(T$429-Tabell2[[#This Row],[Inntekt-T]])*100/T$432</f>
        <v>48.950349883372212</v>
      </c>
      <c r="AD424" s="30">
        <f>Tabell2[[#This Row],[NIBR11-I]]*Vekting!$B$3+Tabell2[[#This Row],[ReisetidOslo-I]]*Vekting!$C$3+Tabell2[[#This Row],[Beftettotal-I]]*Vekting!$D$3+Tabell2[[#This Row],[Befvekst10-I]]*Vekting!$E$3+Tabell2[[#This Row],[Kvinneandel-I]]*Vekting!$F$3+Tabell2[[#This Row],[Eldreandel-I]]*Vekting!$G$3+Tabell2[[#This Row],[Sysselsettingsvekst10-I]]*Vekting!$H$3+Tabell2[[#This Row],[Yrkesaktivandel-I]]*Vekting!$I$3+Tabell2[[#This Row],[Inntekt-I]]*Vekting!$J$3</f>
        <v>42.589973178873642</v>
      </c>
    </row>
    <row r="425" spans="1:30" x14ac:dyDescent="0.25">
      <c r="A425" s="2"/>
      <c r="B425" s="2"/>
      <c r="D425" s="10"/>
      <c r="E425" s="32"/>
      <c r="F425" s="32"/>
      <c r="G425" s="32"/>
      <c r="H425" s="32"/>
      <c r="I425" s="32"/>
      <c r="J425" s="47"/>
      <c r="K425" s="18"/>
      <c r="L425" s="18"/>
      <c r="M425" s="32"/>
      <c r="N425" s="32"/>
      <c r="O425" s="32"/>
      <c r="P425" s="32"/>
      <c r="Q425" s="32"/>
      <c r="R425" s="32"/>
      <c r="S425" s="32"/>
      <c r="T425" s="18"/>
      <c r="U425" s="10"/>
      <c r="V425" s="10"/>
      <c r="W425" s="10"/>
      <c r="X425" s="10"/>
      <c r="Y425" s="10"/>
      <c r="Z425" s="10"/>
      <c r="AA425" s="10"/>
      <c r="AB425" s="10"/>
      <c r="AC425" s="10"/>
      <c r="AD425" s="30"/>
    </row>
    <row r="427" spans="1:30" x14ac:dyDescent="0.25">
      <c r="A427" s="12" t="s">
        <v>403</v>
      </c>
      <c r="B427" s="12"/>
      <c r="C427" s="12">
        <f>PERCENTILE(Tabell2[NIBR11],0.1)</f>
        <v>1</v>
      </c>
      <c r="D427" s="19">
        <f>PERCENTILE(Tabell2[ReisetidOslo],0.1)</f>
        <v>54.622656249999999</v>
      </c>
      <c r="E427" s="19">
        <f>PERCENTILE(Tabell2[Beftettotal],0.1)</f>
        <v>1.2454428893921135</v>
      </c>
      <c r="F427" s="48">
        <f>PERCENTILE(Tabell2[Befvekst10],0.1)</f>
        <v>-5.4526569027269343E-2</v>
      </c>
      <c r="G427" s="20">
        <f>PERCENTILE(Tabell2[Kvinneandel],0.1)</f>
        <v>8.9916711250255951E-2</v>
      </c>
      <c r="H427" s="51">
        <f>PERCENTILE(Tabell2[Eldreandel],0.1)</f>
        <v>0.13032022035982854</v>
      </c>
      <c r="I427" s="20">
        <f>PERCENTILE(Tabell2[Sysselsettingsvekst10],0.1)</f>
        <v>-0.10679965679965678</v>
      </c>
      <c r="J427" s="20">
        <f>PERCENTILE(Tabell2[Yrkesaktivandel],0.1)</f>
        <v>0.7970451171433347</v>
      </c>
      <c r="K427" s="21">
        <f>PERCENTILE(Tabell2[Inntekt],0.1)</f>
        <v>359130</v>
      </c>
      <c r="L427" s="21">
        <f>PERCENTILE(Tabell2[NIBR11-T],0.1)</f>
        <v>1</v>
      </c>
      <c r="M427" s="21">
        <f>PERCENTILE(Tabell2[ReisetidOslo-T],0.1)</f>
        <v>54.641640625000001</v>
      </c>
      <c r="N427" s="21">
        <f>PERCENTILE(Tabell2[Beftettotal-T],0.1)</f>
        <v>1.2548039921944922</v>
      </c>
      <c r="O427" s="24">
        <f>PERCENTILE(Tabell2[Befvekst10-T],0.1)</f>
        <v>-5.4523624131631469E-2</v>
      </c>
      <c r="P427" s="24">
        <f>PERCENTILE(Tabell2[Kvinneandel-T],0.1)</f>
        <v>8.9924320182825743E-2</v>
      </c>
      <c r="Q427" s="24">
        <f>PERCENTILE(Tabell2[Eldreandel-T],0.1)</f>
        <v>0.13035090563706636</v>
      </c>
      <c r="R427" s="24">
        <f>PERCENTILE(Tabell2[Sysselsettingsvekst10-T],0.1)</f>
        <v>-0.10678035178035176</v>
      </c>
      <c r="S427" s="24">
        <f>PERCENTILE(Tabell2[Yrkesaktivandel-T],0.1)</f>
        <v>0.79707033515873094</v>
      </c>
      <c r="T427" s="21">
        <f>PERCENTILE(Tabell2[Inntekt-T],0.1)</f>
        <v>359157</v>
      </c>
      <c r="U427" s="26"/>
      <c r="V427" s="26"/>
    </row>
    <row r="428" spans="1:30" x14ac:dyDescent="0.25">
      <c r="A428" s="12" t="s">
        <v>404</v>
      </c>
      <c r="B428" s="12"/>
      <c r="C428" s="12">
        <f>PERCENTILE(Tabell2[NIBR11],0.9)</f>
        <v>11</v>
      </c>
      <c r="D428" s="19">
        <f>PERCENTILE(Tabell2[ReisetidOslo],0.9)</f>
        <v>286.73125000000005</v>
      </c>
      <c r="E428" s="19">
        <f>PERCENTILE(Tabell2[Beftettotal],0.9)</f>
        <v>135.41854576488009</v>
      </c>
      <c r="F428" s="48">
        <f>PERCENTILE(Tabell2[Befvekst10],0.9)</f>
        <v>0.17761328412400704</v>
      </c>
      <c r="G428" s="20">
        <f>PERCENTILE(Tabell2[Kvinneandel],0.9)</f>
        <v>0.12777681011054584</v>
      </c>
      <c r="H428" s="51">
        <f>PERCENTILE(Tabell2[Eldreandel],0.9)</f>
        <v>0.22303194152148736</v>
      </c>
      <c r="I428" s="20">
        <f>PERCENTILE(Tabell2[Sysselsettingsvekst10],0.9)</f>
        <v>0.17904192152607218</v>
      </c>
      <c r="J428" s="20">
        <f>PERCENTILE(Tabell2[Yrkesaktivandel],0.9)</f>
        <v>0.92597026588718434</v>
      </c>
      <c r="K428" s="21">
        <f>PERCENTILE(Tabell2[Inntekt],0.9)</f>
        <v>449160</v>
      </c>
      <c r="L428" s="21">
        <f>PERCENTILE(Tabell2[NIBR11-T],0.9)</f>
        <v>11</v>
      </c>
      <c r="M428" s="21">
        <f>PERCENTILE(Tabell2[ReisetidOslo-T],0.9)</f>
        <v>286.65812500000004</v>
      </c>
      <c r="N428" s="21">
        <f>PERCENTILE(Tabell2[Beftettotal-T],0.9)</f>
        <v>134.97502788544841</v>
      </c>
      <c r="O428" s="24">
        <f>PERCENTILE(Tabell2[Befvekst10-T],0.9)</f>
        <v>0.17756540678052149</v>
      </c>
      <c r="P428" s="24">
        <f>PERCENTILE(Tabell2[Kvinneandel-T],0.9)</f>
        <v>0.12776467564255808</v>
      </c>
      <c r="Q428" s="24">
        <f>PERCENTILE(Tabell2[Eldreandel-T],0.9)</f>
        <v>0.22301259728777256</v>
      </c>
      <c r="R428" s="24">
        <f>PERCENTILE(Tabell2[Sysselsettingsvekst10-T],0.9)</f>
        <v>0.17890189476397036</v>
      </c>
      <c r="S428" s="24">
        <f>PERCENTILE(Tabell2[Yrkesaktivandel-T],0.9)</f>
        <v>0.92595981938504601</v>
      </c>
      <c r="T428" s="21">
        <f>PERCENTILE(Tabell2[Inntekt-T],0.9)</f>
        <v>449124</v>
      </c>
      <c r="U428" s="26"/>
      <c r="V428" s="26"/>
    </row>
    <row r="429" spans="1:30" x14ac:dyDescent="0.25">
      <c r="A429" s="12" t="s">
        <v>405</v>
      </c>
      <c r="B429" s="12"/>
      <c r="C429" s="12">
        <f>MAXA(Tabell2[NIBR11])</f>
        <v>11</v>
      </c>
      <c r="D429" s="19">
        <f>MAXA(Tabell2[ReisetidOslo])</f>
        <v>575.75</v>
      </c>
      <c r="E429" s="19">
        <f>MAXA(Tabell2[Beftettotal])</f>
        <v>1860.252277505256</v>
      </c>
      <c r="F429" s="19">
        <f>MAXA(Tabell2[Befvekst10])</f>
        <v>0.38740782756664771</v>
      </c>
      <c r="G429" s="20">
        <f>MAXA(Tabell2[Kvinneandel])</f>
        <v>0.18400501530538022</v>
      </c>
      <c r="H429" s="20">
        <f>MAXA(Tabell2[Eldreandel])</f>
        <v>0.27546628407460544</v>
      </c>
      <c r="I429" s="20">
        <f>MAXA(Tabell2[Sysselsettingsvekst10])</f>
        <v>0.54734693877551011</v>
      </c>
      <c r="J429" s="20">
        <f>MAXA(Tabell2[Yrkesaktivandel])</f>
        <v>1.0223642172523961</v>
      </c>
      <c r="K429" s="21">
        <f>MAXA(Tabell2[Inntekt])</f>
        <v>629200</v>
      </c>
      <c r="L429" s="21">
        <f>MAXA(Tabell2[NIBR11-T])</f>
        <v>11</v>
      </c>
      <c r="M429" s="21">
        <f>MAXA(Tabell2[ReisetidOslo-T])</f>
        <v>286.73125000000005</v>
      </c>
      <c r="N429" s="21">
        <f>MAXA(Tabell2[Beftettotal-T])</f>
        <v>135.41854576488009</v>
      </c>
      <c r="O429" s="24">
        <f>MAXA(Tabell2[Befvekst10-T])</f>
        <v>0.17761328412400704</v>
      </c>
      <c r="P429" s="24">
        <f>MAXA(Tabell2[Kvinneandel-T])</f>
        <v>0.12777681011054584</v>
      </c>
      <c r="Q429" s="24">
        <f>MAXA(Tabell2[Eldreandel-T])</f>
        <v>0.22303194152148736</v>
      </c>
      <c r="R429" s="24">
        <f>MAXA(Tabell2[Sysselsettingsvekst10-T])</f>
        <v>0.17904192152607218</v>
      </c>
      <c r="S429" s="24">
        <f>MAXA(Tabell2[Yrkesaktivandel-T])</f>
        <v>0.92597026588718434</v>
      </c>
      <c r="T429" s="21">
        <f>MAXA(Tabell2[Inntekt-T])</f>
        <v>449160</v>
      </c>
      <c r="U429" s="26"/>
      <c r="V429" s="26"/>
    </row>
    <row r="430" spans="1:30" x14ac:dyDescent="0.25">
      <c r="A430" s="12" t="s">
        <v>406</v>
      </c>
      <c r="B430" s="12"/>
      <c r="C430" s="12">
        <f>MINA(Tabell2[NIBR11])</f>
        <v>1</v>
      </c>
      <c r="D430" s="19">
        <f>MINA(Tabell2[ReisetidOslo])</f>
        <v>1.3920898438</v>
      </c>
      <c r="E430" s="19">
        <f>MINA(Tabell2[Beftettotal])</f>
        <v>0.29594386531714578</v>
      </c>
      <c r="F430" s="19">
        <f>MINA(Tabell2[Befvekst10])</f>
        <v>-0.15826086956521734</v>
      </c>
      <c r="G430" s="20">
        <f>MINA(Tabell2[Kvinneandel])</f>
        <v>7.3630136986301373E-2</v>
      </c>
      <c r="H430" s="20">
        <f>MINA(Tabell2[Eldreandel])</f>
        <v>8.7464291715678044E-2</v>
      </c>
      <c r="I430" s="20">
        <f>MINA(Tabell2[Sysselsettingsvekst10])</f>
        <v>-0.27328244274809166</v>
      </c>
      <c r="J430" s="20">
        <f>MINA(Tabell2[Yrkesaktivandel])</f>
        <v>0.73143759873617697</v>
      </c>
      <c r="K430" s="21">
        <f>MINA(Tabell2[Inntekt])</f>
        <v>311000</v>
      </c>
      <c r="L430" s="21">
        <f>MINA(Tabell2[NIBR11-T])</f>
        <v>1</v>
      </c>
      <c r="M430" s="21">
        <f>MINA(Tabell2[ReisetidOslo-T])</f>
        <v>54.622656249999999</v>
      </c>
      <c r="N430" s="21">
        <f>MINA(Tabell2[Beftettotal-T])</f>
        <v>1.2454428893921135</v>
      </c>
      <c r="O430" s="24">
        <f>MINA(Tabell2[Befvekst10-T])</f>
        <v>-5.4526569027269343E-2</v>
      </c>
      <c r="P430" s="24">
        <f>MINA(Tabell2[Kvinneandel-T])</f>
        <v>8.9916711250255951E-2</v>
      </c>
      <c r="Q430" s="24">
        <f>MINA(Tabell2[Eldreandel-T])</f>
        <v>0.13032022035982854</v>
      </c>
      <c r="R430" s="24">
        <f>MINA(Tabell2[Sysselsettingsvekst10-T])</f>
        <v>-0.10679965679965678</v>
      </c>
      <c r="S430" s="24">
        <f>MINA(Tabell2[Yrkesaktivandel-T])</f>
        <v>0.7970451171433347</v>
      </c>
      <c r="T430" s="21">
        <f>MINA(Tabell2[Inntekt-T])</f>
        <v>359130</v>
      </c>
      <c r="U430" s="26"/>
      <c r="V430" s="26"/>
    </row>
    <row r="431" spans="1:30" x14ac:dyDescent="0.25">
      <c r="A431" s="12" t="s">
        <v>407</v>
      </c>
      <c r="B431" s="12"/>
      <c r="C431" s="22">
        <f>AVERAGE(Tabell2[NIBR11])</f>
        <v>5.9383886255924168</v>
      </c>
      <c r="D431" s="19">
        <f>AVERAGE(Tabell2[ReisetidOslo])</f>
        <v>188.2030312777697</v>
      </c>
      <c r="E431" s="19">
        <f>AVERAGE(Tabell2[Beftettotal])</f>
        <v>55.94197597892061</v>
      </c>
      <c r="F431" s="19">
        <f>AVERAGE(Tabell2[Befvekst10])</f>
        <v>5.2862660657369935E-2</v>
      </c>
      <c r="G431" s="20">
        <f>AVERAGE(Tabell2[Kvinneandel])</f>
        <v>0.1088900844007738</v>
      </c>
      <c r="H431" s="20">
        <f>AVERAGE(Tabell2[Eldreandel])</f>
        <v>0.17659782720311468</v>
      </c>
      <c r="I431" s="20">
        <f>AVERAGE(Tabell2[Sysselsettingsvekst10])</f>
        <v>3.2585938570322069E-2</v>
      </c>
      <c r="J431" s="20">
        <f>AVERAGE(Tabell2[Yrkesaktivandel])</f>
        <v>0.86010187304052754</v>
      </c>
      <c r="K431" s="21">
        <f>AVERAGE(Tabell2[Inntekt])</f>
        <v>401036.73460985528</v>
      </c>
      <c r="L431" s="21">
        <f>AVERAGE(Tabell2[NIBR11-T])</f>
        <v>5.9383886255924168</v>
      </c>
      <c r="M431" s="21">
        <f>AVERAGE(Tabell2[ReisetidOslo-T])</f>
        <v>185.95160507997599</v>
      </c>
      <c r="N431" s="21">
        <f>AVERAGE(Tabell2[Beftettotal-T])</f>
        <v>30.106917994176118</v>
      </c>
      <c r="O431" s="24">
        <f>AVERAGE(Tabell2[Befvekst10-T])</f>
        <v>4.944648745462106E-2</v>
      </c>
      <c r="P431" s="24">
        <f>AVERAGE(Tabell2[Kvinneandel-T])</f>
        <v>0.1085613085635115</v>
      </c>
      <c r="Q431" s="24">
        <f>AVERAGE(Tabell2[Eldreandel-T])</f>
        <v>0.17628130158881108</v>
      </c>
      <c r="R431" s="24">
        <f>AVERAGE(Tabell2[Sysselsettingsvekst10-T])</f>
        <v>2.9525951774146013E-2</v>
      </c>
      <c r="S431" s="24">
        <f>AVERAGE(Tabell2[Yrkesaktivandel-T])</f>
        <v>0.85986312365128448</v>
      </c>
      <c r="T431" s="21">
        <f>AVERAGE(Tabell2[Inntekt-T])</f>
        <v>398747.13862624142</v>
      </c>
      <c r="U431" s="26"/>
      <c r="V431" s="26"/>
    </row>
    <row r="432" spans="1:30" x14ac:dyDescent="0.25">
      <c r="A432" s="12" t="s">
        <v>424</v>
      </c>
      <c r="B432" s="12"/>
      <c r="C432" s="12">
        <f>C429-C430</f>
        <v>10</v>
      </c>
      <c r="D432" s="12">
        <f t="shared" ref="D432:T432" si="0">D429-D430</f>
        <v>574.35791015619998</v>
      </c>
      <c r="E432" s="49">
        <f>E429-E430</f>
        <v>1859.9563336399387</v>
      </c>
      <c r="F432" s="49">
        <f>F429-F430</f>
        <v>0.54566869713186505</v>
      </c>
      <c r="G432" s="12">
        <f t="shared" si="0"/>
        <v>0.11037487831907884</v>
      </c>
      <c r="H432" s="12">
        <f t="shared" si="0"/>
        <v>0.18800199235892739</v>
      </c>
      <c r="I432" s="12">
        <f t="shared" si="0"/>
        <v>0.82062938152360176</v>
      </c>
      <c r="J432" s="12">
        <f t="shared" si="0"/>
        <v>0.29092661851621915</v>
      </c>
      <c r="K432" s="12">
        <f t="shared" si="0"/>
        <v>318200</v>
      </c>
      <c r="L432" s="12">
        <f t="shared" si="0"/>
        <v>10</v>
      </c>
      <c r="M432" s="12">
        <f t="shared" si="0"/>
        <v>232.10859375000004</v>
      </c>
      <c r="N432" s="12">
        <f t="shared" ref="N432" si="1">N429-N430</f>
        <v>134.17310287548798</v>
      </c>
      <c r="O432" s="50">
        <f>O429-O430</f>
        <v>0.23213985315127639</v>
      </c>
      <c r="P432" s="12">
        <f t="shared" si="0"/>
        <v>3.786009886028989E-2</v>
      </c>
      <c r="Q432" s="12">
        <f t="shared" si="0"/>
        <v>9.2711721161658822E-2</v>
      </c>
      <c r="R432" s="12">
        <f t="shared" si="0"/>
        <v>0.28584157832572898</v>
      </c>
      <c r="S432" s="12">
        <f t="shared" si="0"/>
        <v>0.12892514874384964</v>
      </c>
      <c r="T432" s="12">
        <f t="shared" si="0"/>
        <v>90030</v>
      </c>
    </row>
  </sheetData>
  <mergeCells count="3">
    <mergeCell ref="U1:AC1"/>
    <mergeCell ref="L1:T1"/>
    <mergeCell ref="C1:K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6" sqref="B16"/>
    </sheetView>
  </sheetViews>
  <sheetFormatPr baseColWidth="10" defaultRowHeight="15" x14ac:dyDescent="0.25"/>
  <cols>
    <col min="1" max="1" width="3.5703125" bestFit="1" customWidth="1"/>
    <col min="2" max="2" width="128.5703125" customWidth="1"/>
  </cols>
  <sheetData>
    <row r="1" spans="1:2" x14ac:dyDescent="0.25">
      <c r="A1" t="s">
        <v>373</v>
      </c>
      <c r="B1" t="s">
        <v>374</v>
      </c>
    </row>
    <row r="2" spans="1:2" x14ac:dyDescent="0.25">
      <c r="A2">
        <v>1</v>
      </c>
      <c r="B2" s="9" t="s">
        <v>376</v>
      </c>
    </row>
    <row r="3" spans="1:2" x14ac:dyDescent="0.25">
      <c r="A3">
        <v>2</v>
      </c>
      <c r="B3" t="s">
        <v>925</v>
      </c>
    </row>
    <row r="4" spans="1:2" x14ac:dyDescent="0.25">
      <c r="A4">
        <v>3</v>
      </c>
      <c r="B4" s="3" t="s">
        <v>425</v>
      </c>
    </row>
    <row r="5" spans="1:2" x14ac:dyDescent="0.25">
      <c r="B5" s="3"/>
    </row>
    <row r="6" spans="1:2" x14ac:dyDescent="0.25">
      <c r="B6" s="11" t="s">
        <v>379</v>
      </c>
    </row>
    <row r="7" spans="1:2" x14ac:dyDescent="0.25">
      <c r="A7" t="s">
        <v>380</v>
      </c>
      <c r="B7" s="11" t="s">
        <v>381</v>
      </c>
    </row>
    <row r="8" spans="1:2" x14ac:dyDescent="0.25">
      <c r="A8" t="s">
        <v>426</v>
      </c>
      <c r="B8" s="11" t="s">
        <v>427</v>
      </c>
    </row>
    <row r="9" spans="1:2" x14ac:dyDescent="0.25">
      <c r="A9" t="s">
        <v>372</v>
      </c>
      <c r="B9" s="11" t="s">
        <v>428</v>
      </c>
    </row>
    <row r="10" spans="1:2" x14ac:dyDescent="0.25">
      <c r="A10" t="s">
        <v>429</v>
      </c>
      <c r="B10" s="11" t="s">
        <v>430</v>
      </c>
    </row>
  </sheetData>
  <hyperlinks>
    <hyperlink ref="B2" r:id="rId1" display="http://statbank.ssb.no/statistikkbanken/SelectVarVal/Define.asp?subjectcode=05&amp;ProductId=05.01&amp;MainTable=Bruttoinnt&amp;SubTable=Kommun1&amp;PLanguage=0&amp;nvl=True&amp;Qid=0&amp;gruppe1=Kommun2002&amp;gruppe2=Hele&amp;gruppe3=Hele&amp;aggreg1=NO&amp;VS1=Kommun&amp;VS2=Kjonn3&amp;VS3=&amp;mt=0"/>
  </hyperlinks>
  <pageMargins left="0.7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D3" sqref="D3"/>
    </sheetView>
  </sheetViews>
  <sheetFormatPr baseColWidth="10" defaultRowHeight="15" x14ac:dyDescent="0.25"/>
  <cols>
    <col min="1" max="1" width="17.140625" bestFit="1" customWidth="1"/>
    <col min="2" max="2" width="7.7109375" bestFit="1" customWidth="1"/>
    <col min="3" max="3" width="8.28515625" bestFit="1" customWidth="1"/>
    <col min="4" max="4" width="14.42578125" bestFit="1" customWidth="1"/>
    <col min="5" max="5" width="10.7109375" bestFit="1" customWidth="1"/>
    <col min="6" max="6" width="12.140625" bestFit="1" customWidth="1"/>
    <col min="7" max="7" width="10.5703125" bestFit="1" customWidth="1"/>
    <col min="8" max="8" width="20.28515625" bestFit="1" customWidth="1"/>
    <col min="9" max="9" width="15" bestFit="1" customWidth="1"/>
    <col min="10" max="10" width="7.85546875" bestFit="1" customWidth="1"/>
    <col min="11" max="11" width="9.140625" bestFit="1" customWidth="1"/>
  </cols>
  <sheetData>
    <row r="1" spans="1:11" x14ac:dyDescent="0.25">
      <c r="A1" s="56" t="s">
        <v>397</v>
      </c>
      <c r="B1" s="71" t="s">
        <v>386</v>
      </c>
      <c r="C1" s="71"/>
      <c r="D1" s="71"/>
      <c r="E1" s="71" t="s">
        <v>394</v>
      </c>
      <c r="F1" s="71"/>
      <c r="G1" s="71"/>
      <c r="H1" s="71" t="s">
        <v>395</v>
      </c>
      <c r="I1" s="71"/>
      <c r="J1" s="57" t="s">
        <v>396</v>
      </c>
      <c r="K1" s="3"/>
    </row>
    <row r="2" spans="1:11" x14ac:dyDescent="0.25">
      <c r="A2" s="56" t="s">
        <v>382</v>
      </c>
      <c r="B2" s="56" t="s">
        <v>378</v>
      </c>
      <c r="C2" s="56" t="s">
        <v>383</v>
      </c>
      <c r="D2" s="56" t="s">
        <v>388</v>
      </c>
      <c r="E2" s="56" t="s">
        <v>389</v>
      </c>
      <c r="F2" s="56" t="s">
        <v>390</v>
      </c>
      <c r="G2" s="56" t="s">
        <v>391</v>
      </c>
      <c r="H2" s="56" t="s">
        <v>392</v>
      </c>
      <c r="I2" s="56" t="s">
        <v>393</v>
      </c>
      <c r="J2" s="56" t="s">
        <v>384</v>
      </c>
      <c r="K2" s="56" t="s">
        <v>385</v>
      </c>
    </row>
    <row r="3" spans="1:11" x14ac:dyDescent="0.25">
      <c r="A3" s="56" t="s">
        <v>926</v>
      </c>
      <c r="B3" s="13">
        <v>0.2</v>
      </c>
      <c r="C3" s="13">
        <v>0.1</v>
      </c>
      <c r="D3" s="13">
        <v>0.1</v>
      </c>
      <c r="E3" s="13">
        <v>0.2</v>
      </c>
      <c r="F3" s="13">
        <v>0.05</v>
      </c>
      <c r="G3" s="13">
        <v>0.05</v>
      </c>
      <c r="H3" s="13">
        <v>0.1</v>
      </c>
      <c r="I3" s="13">
        <v>0.1</v>
      </c>
      <c r="J3" s="13">
        <v>0.1</v>
      </c>
      <c r="K3" s="13">
        <f>SUM(B3:J3)</f>
        <v>1.0000000000000002</v>
      </c>
    </row>
  </sheetData>
  <mergeCells count="3">
    <mergeCell ref="B1:D1"/>
    <mergeCell ref="E1:G1"/>
    <mergeCell ref="H1:I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3"/>
  <sheetViews>
    <sheetView tabSelected="1" workbookViewId="0">
      <pane ySplit="1" topLeftCell="A14" activePane="bottomLeft" state="frozen"/>
      <selection pane="bottomLeft" activeCell="M21" sqref="M21"/>
    </sheetView>
  </sheetViews>
  <sheetFormatPr baseColWidth="10" defaultRowHeight="15" x14ac:dyDescent="0.25"/>
  <cols>
    <col min="1" max="1" width="25" style="60" bestFit="1" customWidth="1"/>
    <col min="2" max="2" width="25" style="60" customWidth="1"/>
    <col min="3" max="3" width="19" style="60" customWidth="1"/>
    <col min="4" max="4" width="16.42578125" style="60" customWidth="1"/>
    <col min="5" max="5" width="13.5703125" style="60" customWidth="1"/>
    <col min="6" max="6" width="14.85546875" style="60" customWidth="1"/>
    <col min="7" max="7" width="16.28515625" style="60" customWidth="1"/>
    <col min="8" max="8" width="14.7109375" style="60" customWidth="1"/>
    <col min="9" max="9" width="24.28515625" style="60" customWidth="1"/>
    <col min="10" max="10" width="19.28515625" style="60" customWidth="1"/>
    <col min="11" max="11" width="11.5703125" style="60" customWidth="1"/>
    <col min="12" max="12" width="16.28515625" style="60" customWidth="1"/>
    <col min="13" max="13" width="12.42578125" style="60" customWidth="1"/>
    <col min="14" max="16384" width="11.42578125" style="60"/>
  </cols>
  <sheetData>
    <row r="1" spans="1:13" x14ac:dyDescent="0.25">
      <c r="A1" s="59" t="s">
        <v>0</v>
      </c>
      <c r="B1" s="59" t="s">
        <v>924</v>
      </c>
      <c r="C1" s="60" t="s">
        <v>441</v>
      </c>
      <c r="D1" s="60" t="s">
        <v>442</v>
      </c>
      <c r="E1" s="60" t="s">
        <v>443</v>
      </c>
      <c r="F1" s="60" t="s">
        <v>444</v>
      </c>
      <c r="G1" s="60" t="s">
        <v>445</v>
      </c>
      <c r="H1" s="60" t="s">
        <v>446</v>
      </c>
      <c r="I1" s="60" t="s">
        <v>447</v>
      </c>
      <c r="J1" s="60" t="s">
        <v>448</v>
      </c>
      <c r="K1" s="60" t="s">
        <v>449</v>
      </c>
      <c r="L1" s="60" t="s">
        <v>450</v>
      </c>
      <c r="M1" s="61" t="s">
        <v>381</v>
      </c>
    </row>
    <row r="2" spans="1:13" x14ac:dyDescent="0.25">
      <c r="A2" s="62" t="s">
        <v>1</v>
      </c>
      <c r="B2" s="62">
        <v>1</v>
      </c>
      <c r="C2" s="63">
        <f>'Arbeidsark-K'!U3*Vekting!$B$3</f>
        <v>12</v>
      </c>
      <c r="D2" s="63">
        <f>'Arbeidsark-K'!V3*Vekting!$C$3</f>
        <v>8.9908077778787554</v>
      </c>
      <c r="E2" s="63">
        <f>'Arbeidsark-K'!W3*Vekting!$D$3</f>
        <v>3.4799566495129657</v>
      </c>
      <c r="F2" s="63">
        <f>'Arbeidsark-K'!X3*Vekting!$E$3</f>
        <v>13.844057756742082</v>
      </c>
      <c r="G2" s="63">
        <f>'Arbeidsark-K'!Y3*Vekting!$F$3</f>
        <v>3.7979540547576676</v>
      </c>
      <c r="H2" s="63">
        <f>'Arbeidsark-K'!Z3*Vekting!$G$3</f>
        <v>2.9096143633739051</v>
      </c>
      <c r="I2" s="63">
        <f>'Arbeidsark-K'!AA3*Vekting!$H$3</f>
        <v>4.2508000363102196</v>
      </c>
      <c r="J2" s="63">
        <f>'Arbeidsark-K'!AB3*Vekting!$I$3</f>
        <v>0</v>
      </c>
      <c r="K2" s="63">
        <f>'Arbeidsark-K'!AC3*Vekting!$J$3</f>
        <v>2.3736532267022099</v>
      </c>
      <c r="L2" s="63">
        <f t="shared" ref="L2:L65" si="0">SUM(C2:K2)</f>
        <v>51.646843865277802</v>
      </c>
      <c r="M2" s="58" t="s">
        <v>451</v>
      </c>
    </row>
    <row r="3" spans="1:13" x14ac:dyDescent="0.25">
      <c r="A3" s="62" t="s">
        <v>2</v>
      </c>
      <c r="B3" s="62">
        <v>2</v>
      </c>
      <c r="C3" s="64">
        <f>'Arbeidsark-K'!U4*Vekting!$B$3</f>
        <v>14</v>
      </c>
      <c r="D3" s="64">
        <f>'Arbeidsark-K'!V4*Vekting!$C$3</f>
        <v>10</v>
      </c>
      <c r="E3" s="64">
        <f>'Arbeidsark-K'!W4*Vekting!$D$3</f>
        <v>10</v>
      </c>
      <c r="F3" s="64">
        <f>'Arbeidsark-K'!X4*Vekting!$E$3</f>
        <v>16.053471617043606</v>
      </c>
      <c r="G3" s="64">
        <f>'Arbeidsark-K'!Y4*Vekting!$F$3</f>
        <v>3.2319191034002368</v>
      </c>
      <c r="H3" s="64">
        <f>'Arbeidsark-K'!Z4*Vekting!$G$3</f>
        <v>2.9186071271013008</v>
      </c>
      <c r="I3" s="64">
        <f>'Arbeidsark-K'!AA4*Vekting!$H$3</f>
        <v>0.86624746130069641</v>
      </c>
      <c r="J3" s="64">
        <f>'Arbeidsark-K'!AB4*Vekting!$I$3</f>
        <v>0</v>
      </c>
      <c r="K3" s="64">
        <f>'Arbeidsark-K'!AC4*Vekting!$J$3</f>
        <v>5.1282905698100638</v>
      </c>
      <c r="L3" s="63">
        <f t="shared" si="0"/>
        <v>62.198535878655903</v>
      </c>
      <c r="M3" s="65" t="s">
        <v>452</v>
      </c>
    </row>
    <row r="4" spans="1:13" x14ac:dyDescent="0.25">
      <c r="A4" s="62" t="s">
        <v>3</v>
      </c>
      <c r="B4" s="62">
        <v>3</v>
      </c>
      <c r="C4" s="64">
        <f>'Arbeidsark-K'!U5*Vekting!$B$3</f>
        <v>18</v>
      </c>
      <c r="D4" s="64">
        <f>'Arbeidsark-K'!V5*Vekting!$C$3</f>
        <v>9.6885549934533604</v>
      </c>
      <c r="E4" s="64">
        <f>'Arbeidsark-K'!W5*Vekting!$D$3</f>
        <v>10</v>
      </c>
      <c r="F4" s="64">
        <f>'Arbeidsark-K'!X5*Vekting!$E$3</f>
        <v>12.418695694142812</v>
      </c>
      <c r="G4" s="64">
        <f>'Arbeidsark-K'!Y5*Vekting!$F$3</f>
        <v>3.7687488746222009</v>
      </c>
      <c r="H4" s="64">
        <f>'Arbeidsark-K'!Z5*Vekting!$G$3</f>
        <v>3.2940081868661366</v>
      </c>
      <c r="I4" s="64">
        <f>'Arbeidsark-K'!AA5*Vekting!$H$3</f>
        <v>10</v>
      </c>
      <c r="J4" s="64">
        <f>'Arbeidsark-K'!AB5*Vekting!$I$3</f>
        <v>0</v>
      </c>
      <c r="K4" s="64">
        <f>'Arbeidsark-K'!AC5*Vekting!$J$3</f>
        <v>2.4736199044762857</v>
      </c>
      <c r="L4" s="63">
        <f t="shared" si="0"/>
        <v>69.643627653560785</v>
      </c>
      <c r="M4" s="65" t="s">
        <v>453</v>
      </c>
    </row>
    <row r="5" spans="1:13" x14ac:dyDescent="0.25">
      <c r="A5" s="62" t="s">
        <v>4</v>
      </c>
      <c r="B5" s="62">
        <v>4</v>
      </c>
      <c r="C5" s="64">
        <f>'Arbeidsark-K'!U6*Vekting!$B$3</f>
        <v>18</v>
      </c>
      <c r="D5" s="64">
        <f>'Arbeidsark-K'!V6*Vekting!$C$3</f>
        <v>9.5306951554868924</v>
      </c>
      <c r="E5" s="64">
        <f>'Arbeidsark-K'!W6*Vekting!$D$3</f>
        <v>10</v>
      </c>
      <c r="F5" s="64">
        <f>'Arbeidsark-K'!X6*Vekting!$E$3</f>
        <v>15.360614719592343</v>
      </c>
      <c r="G5" s="64">
        <f>'Arbeidsark-K'!Y6*Vekting!$F$3</f>
        <v>3.8171549916402925</v>
      </c>
      <c r="H5" s="64">
        <f>'Arbeidsark-K'!Z6*Vekting!$G$3</f>
        <v>3.5052725864985224</v>
      </c>
      <c r="I5" s="64">
        <f>'Arbeidsark-K'!AA6*Vekting!$H$3</f>
        <v>1.4646885831941887</v>
      </c>
      <c r="J5" s="64">
        <f>'Arbeidsark-K'!AB6*Vekting!$I$3</f>
        <v>0</v>
      </c>
      <c r="K5" s="64">
        <f>'Arbeidsark-K'!AC6*Vekting!$J$3</f>
        <v>4.1619460179940022</v>
      </c>
      <c r="L5" s="63">
        <f t="shared" si="0"/>
        <v>65.840372054406245</v>
      </c>
      <c r="M5" s="65" t="s">
        <v>454</v>
      </c>
    </row>
    <row r="6" spans="1:13" x14ac:dyDescent="0.25">
      <c r="A6" s="62" t="s">
        <v>5</v>
      </c>
      <c r="B6" s="62">
        <v>5</v>
      </c>
      <c r="C6" s="64">
        <f>'Arbeidsark-K'!U7*Vekting!$B$3</f>
        <v>16</v>
      </c>
      <c r="D6" s="64">
        <f>'Arbeidsark-K'!V7*Vekting!$C$3</f>
        <v>8.4206274676118067</v>
      </c>
      <c r="E6" s="64">
        <f>'Arbeidsark-K'!W7*Vekting!$D$3</f>
        <v>3.6428028822005438</v>
      </c>
      <c r="F6" s="64">
        <f>'Arbeidsark-K'!X7*Vekting!$E$3</f>
        <v>18.842247359974753</v>
      </c>
      <c r="G6" s="64">
        <f>'Arbeidsark-K'!Y7*Vekting!$F$3</f>
        <v>0</v>
      </c>
      <c r="H6" s="64">
        <f>'Arbeidsark-K'!Z7*Vekting!$G$3</f>
        <v>0.99617352871207532</v>
      </c>
      <c r="I6" s="64">
        <f>'Arbeidsark-K'!AA7*Vekting!$H$3</f>
        <v>8.4630777766570002</v>
      </c>
      <c r="J6" s="64">
        <f>'Arbeidsark-K'!AB7*Vekting!$I$3</f>
        <v>1.9929949506147127</v>
      </c>
      <c r="K6" s="64">
        <f>'Arbeidsark-K'!AC7*Vekting!$J$3</f>
        <v>8.3605464845051642</v>
      </c>
      <c r="L6" s="63">
        <f t="shared" si="0"/>
        <v>66.718470450276072</v>
      </c>
      <c r="M6" s="65" t="s">
        <v>455</v>
      </c>
    </row>
    <row r="7" spans="1:13" x14ac:dyDescent="0.25">
      <c r="A7" s="62" t="s">
        <v>6</v>
      </c>
      <c r="B7" s="62">
        <v>6</v>
      </c>
      <c r="C7" s="64">
        <f>'Arbeidsark-K'!U8*Vekting!$B$3</f>
        <v>12</v>
      </c>
      <c r="D7" s="64">
        <f>'Arbeidsark-K'!V8*Vekting!$C$3</f>
        <v>8.3506171343558879</v>
      </c>
      <c r="E7" s="64">
        <f>'Arbeidsark-K'!W8*Vekting!$D$3</f>
        <v>0.23352639551427359</v>
      </c>
      <c r="F7" s="64">
        <f>'Arbeidsark-K'!X8*Vekting!$E$3</f>
        <v>3.5425161798124778</v>
      </c>
      <c r="G7" s="64">
        <f>'Arbeidsark-K'!Y8*Vekting!$F$3</f>
        <v>0</v>
      </c>
      <c r="H7" s="64">
        <f>'Arbeidsark-K'!Z8*Vekting!$G$3</f>
        <v>1.6896196663784986</v>
      </c>
      <c r="I7" s="64">
        <f>'Arbeidsark-K'!AA8*Vekting!$H$3</f>
        <v>2.1157919456063441</v>
      </c>
      <c r="J7" s="64">
        <f>'Arbeidsark-K'!AB8*Vekting!$I$3</f>
        <v>1.6213749612897332</v>
      </c>
      <c r="K7" s="64">
        <f>'Arbeidsark-K'!AC8*Vekting!$J$3</f>
        <v>3.7287570809730095</v>
      </c>
      <c r="L7" s="63">
        <f t="shared" si="0"/>
        <v>33.282203363930222</v>
      </c>
      <c r="M7" s="65" t="s">
        <v>456</v>
      </c>
    </row>
    <row r="8" spans="1:13" x14ac:dyDescent="0.25">
      <c r="A8" s="62" t="s">
        <v>7</v>
      </c>
      <c r="B8" s="62">
        <v>7</v>
      </c>
      <c r="C8" s="64">
        <f>'Arbeidsark-K'!U9*Vekting!$B$3</f>
        <v>12</v>
      </c>
      <c r="D8" s="64">
        <f>'Arbeidsark-K'!V9*Vekting!$C$3</f>
        <v>9.439143181229154</v>
      </c>
      <c r="E8" s="64">
        <f>'Arbeidsark-K'!W9*Vekting!$D$3</f>
        <v>0.55645352046004326</v>
      </c>
      <c r="F8" s="64">
        <f>'Arbeidsark-K'!X9*Vekting!$E$3</f>
        <v>6.6574719560419799</v>
      </c>
      <c r="G8" s="64">
        <f>'Arbeidsark-K'!Y9*Vekting!$F$3</f>
        <v>0.82865066941522381</v>
      </c>
      <c r="H8" s="64">
        <f>'Arbeidsark-K'!Z9*Vekting!$G$3</f>
        <v>0.30355114410801881</v>
      </c>
      <c r="I8" s="64">
        <f>'Arbeidsark-K'!AA9*Vekting!$H$3</f>
        <v>0</v>
      </c>
      <c r="J8" s="64">
        <f>'Arbeidsark-K'!AB9*Vekting!$I$3</f>
        <v>1.1468345488740141</v>
      </c>
      <c r="K8" s="64">
        <f>'Arbeidsark-K'!AC9*Vekting!$J$3</f>
        <v>3.4955014995001665</v>
      </c>
      <c r="L8" s="63">
        <f t="shared" si="0"/>
        <v>34.427606519628604</v>
      </c>
      <c r="M8" s="65" t="s">
        <v>457</v>
      </c>
    </row>
    <row r="9" spans="1:13" x14ac:dyDescent="0.25">
      <c r="A9" s="62" t="s">
        <v>8</v>
      </c>
      <c r="B9" s="62">
        <v>8</v>
      </c>
      <c r="C9" s="64">
        <f>'Arbeidsark-K'!U10*Vekting!$B$3</f>
        <v>20</v>
      </c>
      <c r="D9" s="64">
        <f>'Arbeidsark-K'!V10*Vekting!$C$3</f>
        <v>9.2789272262781104</v>
      </c>
      <c r="E9" s="64">
        <f>'Arbeidsark-K'!W10*Vekting!$D$3</f>
        <v>0.18594375610779254</v>
      </c>
      <c r="F9" s="64">
        <f>'Arbeidsark-K'!X10*Vekting!$E$3</f>
        <v>8.0968679445316134</v>
      </c>
      <c r="G9" s="64">
        <f>'Arbeidsark-K'!Y10*Vekting!$F$3</f>
        <v>7.8478090752797422E-2</v>
      </c>
      <c r="H9" s="64">
        <f>'Arbeidsark-K'!Z10*Vekting!$G$3</f>
        <v>0.92720344567409629</v>
      </c>
      <c r="I9" s="64">
        <f>'Arbeidsark-K'!AA10*Vekting!$H$3</f>
        <v>8.9659522027297207</v>
      </c>
      <c r="J9" s="64">
        <f>'Arbeidsark-K'!AB10*Vekting!$I$3</f>
        <v>8.3744774794338266</v>
      </c>
      <c r="K9" s="64">
        <f>'Arbeidsark-K'!AC10*Vekting!$J$3</f>
        <v>8.193935354881706</v>
      </c>
      <c r="L9" s="63">
        <f t="shared" si="0"/>
        <v>64.101785500389667</v>
      </c>
      <c r="M9" s="65" t="s">
        <v>458</v>
      </c>
    </row>
    <row r="10" spans="1:13" x14ac:dyDescent="0.25">
      <c r="A10" s="62" t="s">
        <v>9</v>
      </c>
      <c r="B10" s="62">
        <v>9</v>
      </c>
      <c r="C10" s="64">
        <f>'Arbeidsark-K'!U11*Vekting!$B$3</f>
        <v>12</v>
      </c>
      <c r="D10" s="64">
        <f>'Arbeidsark-K'!V11*Vekting!$C$3</f>
        <v>9.9070006967374518</v>
      </c>
      <c r="E10" s="64">
        <f>'Arbeidsark-K'!W11*Vekting!$D$3</f>
        <v>1.8636726489404525</v>
      </c>
      <c r="F10" s="64">
        <f>'Arbeidsark-K'!X11*Vekting!$E$3</f>
        <v>11.132616379844784</v>
      </c>
      <c r="G10" s="64">
        <f>'Arbeidsark-K'!Y11*Vekting!$F$3</f>
        <v>1.7819571606910267</v>
      </c>
      <c r="H10" s="64">
        <f>'Arbeidsark-K'!Z11*Vekting!$G$3</f>
        <v>2.9644496636967892</v>
      </c>
      <c r="I10" s="64">
        <f>'Arbeidsark-K'!AA11*Vekting!$H$3</f>
        <v>6.2749297430090385</v>
      </c>
      <c r="J10" s="64">
        <f>'Arbeidsark-K'!AB11*Vekting!$I$3</f>
        <v>3.5711961572678748</v>
      </c>
      <c r="K10" s="64">
        <f>'Arbeidsark-K'!AC11*Vekting!$J$3</f>
        <v>3.8176163501055207</v>
      </c>
      <c r="L10" s="63">
        <f t="shared" si="0"/>
        <v>53.313438800292943</v>
      </c>
      <c r="M10" s="65" t="s">
        <v>459</v>
      </c>
    </row>
    <row r="11" spans="1:13" x14ac:dyDescent="0.25">
      <c r="A11" s="62" t="s">
        <v>10</v>
      </c>
      <c r="B11" s="62">
        <v>10</v>
      </c>
      <c r="C11" s="64">
        <f>'Arbeidsark-K'!U12*Vekting!$B$3</f>
        <v>20</v>
      </c>
      <c r="D11" s="64">
        <f>'Arbeidsark-K'!V12*Vekting!$C$3</f>
        <v>10</v>
      </c>
      <c r="E11" s="64">
        <f>'Arbeidsark-K'!W12*Vekting!$D$3</f>
        <v>2.9323741093534483</v>
      </c>
      <c r="F11" s="64">
        <f>'Arbeidsark-K'!X12*Vekting!$E$3</f>
        <v>18.923402003063366</v>
      </c>
      <c r="G11" s="64">
        <f>'Arbeidsark-K'!Y12*Vekting!$F$3</f>
        <v>3.3361093289973369</v>
      </c>
      <c r="H11" s="64">
        <f>'Arbeidsark-K'!Z12*Vekting!$G$3</f>
        <v>3.2721255440074026</v>
      </c>
      <c r="I11" s="64">
        <f>'Arbeidsark-K'!AA12*Vekting!$H$3</f>
        <v>4.5635953636130351</v>
      </c>
      <c r="J11" s="64">
        <f>'Arbeidsark-K'!AB12*Vekting!$I$3</f>
        <v>3.4513544625589589</v>
      </c>
      <c r="K11" s="64">
        <f>'Arbeidsark-K'!AC12*Vekting!$J$3</f>
        <v>5.8391647228701551</v>
      </c>
      <c r="L11" s="63">
        <f t="shared" si="0"/>
        <v>72.31812553446369</v>
      </c>
      <c r="M11" s="65" t="s">
        <v>460</v>
      </c>
    </row>
    <row r="12" spans="1:13" x14ac:dyDescent="0.25">
      <c r="A12" s="62" t="s">
        <v>11</v>
      </c>
      <c r="B12" s="62">
        <v>11</v>
      </c>
      <c r="C12" s="64">
        <f>'Arbeidsark-K'!U13*Vekting!$B$3</f>
        <v>12</v>
      </c>
      <c r="D12" s="64">
        <f>'Arbeidsark-K'!V13*Vekting!$C$3</f>
        <v>10</v>
      </c>
      <c r="E12" s="64">
        <f>'Arbeidsark-K'!W13*Vekting!$D$3</f>
        <v>10</v>
      </c>
      <c r="F12" s="64">
        <f>'Arbeidsark-K'!X13*Vekting!$E$3</f>
        <v>13.061301376135573</v>
      </c>
      <c r="G12" s="64">
        <f>'Arbeidsark-K'!Y13*Vekting!$F$3</f>
        <v>3.8267753377591873</v>
      </c>
      <c r="H12" s="64">
        <f>'Arbeidsark-K'!Z13*Vekting!$G$3</f>
        <v>3.6436171587299513</v>
      </c>
      <c r="I12" s="64">
        <f>'Arbeidsark-K'!AA13*Vekting!$H$3</f>
        <v>3.247333862135132</v>
      </c>
      <c r="J12" s="64">
        <f>'Arbeidsark-K'!AB13*Vekting!$I$3</f>
        <v>0</v>
      </c>
      <c r="K12" s="64">
        <f>'Arbeidsark-K'!AC13*Vekting!$J$3</f>
        <v>3.5843607686326777</v>
      </c>
      <c r="L12" s="63">
        <f t="shared" si="0"/>
        <v>59.363388503392521</v>
      </c>
      <c r="M12" s="65" t="s">
        <v>461</v>
      </c>
    </row>
    <row r="13" spans="1:13" x14ac:dyDescent="0.25">
      <c r="A13" s="62" t="s">
        <v>12</v>
      </c>
      <c r="B13" s="62">
        <v>12</v>
      </c>
      <c r="C13" s="64">
        <f>'Arbeidsark-K'!U14*Vekting!$B$3</f>
        <v>12</v>
      </c>
      <c r="D13" s="64">
        <f>'Arbeidsark-K'!V14*Vekting!$C$3</f>
        <v>10</v>
      </c>
      <c r="E13" s="64">
        <f>'Arbeidsark-K'!W14*Vekting!$D$3</f>
        <v>3.5106517426603716</v>
      </c>
      <c r="F13" s="64">
        <f>'Arbeidsark-K'!X14*Vekting!$E$3</f>
        <v>13.4238669108884</v>
      </c>
      <c r="G13" s="64">
        <f>'Arbeidsark-K'!Y14*Vekting!$F$3</f>
        <v>2.9572822460636297</v>
      </c>
      <c r="H13" s="64">
        <f>'Arbeidsark-K'!Z14*Vekting!$G$3</f>
        <v>3.0634551875147626</v>
      </c>
      <c r="I13" s="64">
        <f>'Arbeidsark-K'!AA14*Vekting!$H$3</f>
        <v>2.8529148515262537</v>
      </c>
      <c r="J13" s="64">
        <f>'Arbeidsark-K'!AB14*Vekting!$I$3</f>
        <v>0</v>
      </c>
      <c r="K13" s="64">
        <f>'Arbeidsark-K'!AC14*Vekting!$J$3</f>
        <v>2.4847273131178498</v>
      </c>
      <c r="L13" s="63">
        <f t="shared" si="0"/>
        <v>50.292898251771263</v>
      </c>
      <c r="M13" s="65" t="s">
        <v>462</v>
      </c>
    </row>
    <row r="14" spans="1:13" x14ac:dyDescent="0.25">
      <c r="A14" s="62" t="s">
        <v>13</v>
      </c>
      <c r="B14" s="62">
        <v>13</v>
      </c>
      <c r="C14" s="64">
        <f>'Arbeidsark-K'!U15*Vekting!$B$3</f>
        <v>12</v>
      </c>
      <c r="D14" s="64">
        <f>'Arbeidsark-K'!V15*Vekting!$C$3</f>
        <v>9.9918209081821203</v>
      </c>
      <c r="E14" s="64">
        <f>'Arbeidsark-K'!W15*Vekting!$D$3</f>
        <v>2.6929604972697621</v>
      </c>
      <c r="F14" s="64">
        <f>'Arbeidsark-K'!X15*Vekting!$E$3</f>
        <v>14.0377096938949</v>
      </c>
      <c r="G14" s="64">
        <f>'Arbeidsark-K'!Y15*Vekting!$F$3</f>
        <v>4.1838117365495364</v>
      </c>
      <c r="H14" s="64">
        <f>'Arbeidsark-K'!Z15*Vekting!$G$3</f>
        <v>4.3584978989636731</v>
      </c>
      <c r="I14" s="64">
        <f>'Arbeidsark-K'!AA15*Vekting!$H$3</f>
        <v>4.6182833724364372</v>
      </c>
      <c r="J14" s="64">
        <f>'Arbeidsark-K'!AB15*Vekting!$I$3</f>
        <v>4.0715035355897937</v>
      </c>
      <c r="K14" s="64">
        <f>'Arbeidsark-K'!AC15*Vekting!$J$3</f>
        <v>5.2837942907919588</v>
      </c>
      <c r="L14" s="63">
        <f t="shared" si="0"/>
        <v>61.238381933678177</v>
      </c>
      <c r="M14" s="65" t="s">
        <v>463</v>
      </c>
    </row>
    <row r="15" spans="1:13" x14ac:dyDescent="0.25">
      <c r="A15" s="62" t="s">
        <v>14</v>
      </c>
      <c r="B15" s="62">
        <v>14</v>
      </c>
      <c r="C15" s="64">
        <f>'Arbeidsark-K'!U16*Vekting!$B$3</f>
        <v>18</v>
      </c>
      <c r="D15" s="64">
        <f>'Arbeidsark-K'!V16*Vekting!$C$3</f>
        <v>9.6148421906502559</v>
      </c>
      <c r="E15" s="64">
        <f>'Arbeidsark-K'!W16*Vekting!$D$3</f>
        <v>1.3084289256201829</v>
      </c>
      <c r="F15" s="64">
        <f>'Arbeidsark-K'!X16*Vekting!$E$3</f>
        <v>13.338747617398454</v>
      </c>
      <c r="G15" s="64">
        <f>'Arbeidsark-K'!Y16*Vekting!$F$3</f>
        <v>2.861881239746058</v>
      </c>
      <c r="H15" s="64">
        <f>'Arbeidsark-K'!Z16*Vekting!$G$3</f>
        <v>3.2190766690455392</v>
      </c>
      <c r="I15" s="64">
        <f>'Arbeidsark-K'!AA16*Vekting!$H$3</f>
        <v>1.5657171405210022</v>
      </c>
      <c r="J15" s="64">
        <f>'Arbeidsark-K'!AB16*Vekting!$I$3</f>
        <v>2.0934020928869628</v>
      </c>
      <c r="K15" s="64">
        <f>'Arbeidsark-K'!AC16*Vekting!$J$3</f>
        <v>5.4948350549816736</v>
      </c>
      <c r="L15" s="63">
        <f t="shared" si="0"/>
        <v>57.496930930850127</v>
      </c>
      <c r="M15" s="65" t="s">
        <v>464</v>
      </c>
    </row>
    <row r="16" spans="1:13" x14ac:dyDescent="0.25">
      <c r="A16" s="62" t="s">
        <v>15</v>
      </c>
      <c r="B16" s="62">
        <v>15</v>
      </c>
      <c r="C16" s="64">
        <f>'Arbeidsark-K'!U17*Vekting!$B$3</f>
        <v>18</v>
      </c>
      <c r="D16" s="64">
        <f>'Arbeidsark-K'!V17*Vekting!$C$3</f>
        <v>10</v>
      </c>
      <c r="E16" s="64">
        <f>'Arbeidsark-K'!W17*Vekting!$D$3</f>
        <v>4.5495715969418677</v>
      </c>
      <c r="F16" s="64">
        <f>'Arbeidsark-K'!X17*Vekting!$E$3</f>
        <v>14.330931153109184</v>
      </c>
      <c r="G16" s="64">
        <f>'Arbeidsark-K'!Y17*Vekting!$F$3</f>
        <v>1.6743993224216234</v>
      </c>
      <c r="H16" s="64">
        <f>'Arbeidsark-K'!Z17*Vekting!$G$3</f>
        <v>2.3910135550109617</v>
      </c>
      <c r="I16" s="64">
        <f>'Arbeidsark-K'!AA17*Vekting!$H$3</f>
        <v>10</v>
      </c>
      <c r="J16" s="64">
        <f>'Arbeidsark-K'!AB17*Vekting!$I$3</f>
        <v>2.9565291929858448</v>
      </c>
      <c r="K16" s="64">
        <f>'Arbeidsark-K'!AC17*Vekting!$J$3</f>
        <v>6.8832611351771638</v>
      </c>
      <c r="L16" s="63">
        <f t="shared" si="0"/>
        <v>70.785705955646648</v>
      </c>
      <c r="M16" s="65" t="s">
        <v>465</v>
      </c>
    </row>
    <row r="17" spans="1:13" x14ac:dyDescent="0.25">
      <c r="A17" s="62" t="s">
        <v>16</v>
      </c>
      <c r="B17" s="62">
        <v>16</v>
      </c>
      <c r="C17" s="64">
        <f>'Arbeidsark-K'!U18*Vekting!$B$3</f>
        <v>14</v>
      </c>
      <c r="D17" s="64">
        <f>'Arbeidsark-K'!V18*Vekting!$C$3</f>
        <v>10</v>
      </c>
      <c r="E17" s="64">
        <f>'Arbeidsark-K'!W18*Vekting!$D$3</f>
        <v>10</v>
      </c>
      <c r="F17" s="64">
        <f>'Arbeidsark-K'!X18*Vekting!$E$3</f>
        <v>16.576025175006702</v>
      </c>
      <c r="G17" s="64">
        <f>'Arbeidsark-K'!Y18*Vekting!$F$3</f>
        <v>2.2315426498035063</v>
      </c>
      <c r="H17" s="64">
        <f>'Arbeidsark-K'!Z18*Vekting!$G$3</f>
        <v>3.2915379962205344</v>
      </c>
      <c r="I17" s="64">
        <f>'Arbeidsark-K'!AA18*Vekting!$H$3</f>
        <v>8.5747416674186336</v>
      </c>
      <c r="J17" s="64">
        <f>'Arbeidsark-K'!AB18*Vekting!$I$3</f>
        <v>1.330085584717277</v>
      </c>
      <c r="K17" s="64">
        <f>'Arbeidsark-K'!AC18*Vekting!$J$3</f>
        <v>7.8496056869932254</v>
      </c>
      <c r="L17" s="63">
        <f t="shared" si="0"/>
        <v>73.853538760159893</v>
      </c>
      <c r="M17" s="65" t="s">
        <v>466</v>
      </c>
    </row>
    <row r="18" spans="1:13" x14ac:dyDescent="0.25">
      <c r="A18" s="62" t="s">
        <v>17</v>
      </c>
      <c r="B18" s="62">
        <v>17</v>
      </c>
      <c r="C18" s="64">
        <f>'Arbeidsark-K'!U19*Vekting!$B$3</f>
        <v>14</v>
      </c>
      <c r="D18" s="64">
        <f>'Arbeidsark-K'!V19*Vekting!$C$3</f>
        <v>10</v>
      </c>
      <c r="E18" s="64">
        <f>'Arbeidsark-K'!W19*Vekting!$D$3</f>
        <v>1.4545794196985229</v>
      </c>
      <c r="F18" s="64">
        <f>'Arbeidsark-K'!X19*Vekting!$E$3</f>
        <v>20</v>
      </c>
      <c r="G18" s="64">
        <f>'Arbeidsark-K'!Y19*Vekting!$F$3</f>
        <v>5</v>
      </c>
      <c r="H18" s="64">
        <f>'Arbeidsark-K'!Z19*Vekting!$G$3</f>
        <v>5</v>
      </c>
      <c r="I18" s="64">
        <f>'Arbeidsark-K'!AA19*Vekting!$H$3</f>
        <v>10</v>
      </c>
      <c r="J18" s="64">
        <f>'Arbeidsark-K'!AB19*Vekting!$I$3</f>
        <v>4.1377589774500434</v>
      </c>
      <c r="K18" s="64">
        <f>'Arbeidsark-K'!AC19*Vekting!$J$3</f>
        <v>7.5608130623125618</v>
      </c>
      <c r="L18" s="63">
        <f t="shared" si="0"/>
        <v>77.153151459461128</v>
      </c>
      <c r="M18" s="65" t="s">
        <v>467</v>
      </c>
    </row>
    <row r="19" spans="1:13" x14ac:dyDescent="0.25">
      <c r="A19" s="62" t="s">
        <v>18</v>
      </c>
      <c r="B19" s="62">
        <v>18</v>
      </c>
      <c r="C19" s="64">
        <f>'Arbeidsark-K'!U20*Vekting!$B$3</f>
        <v>20</v>
      </c>
      <c r="D19" s="64">
        <f>'Arbeidsark-K'!V20*Vekting!$C$3</f>
        <v>10</v>
      </c>
      <c r="E19" s="64">
        <f>'Arbeidsark-K'!W20*Vekting!$D$3</f>
        <v>2.8572901454656705</v>
      </c>
      <c r="F19" s="64">
        <f>'Arbeidsark-K'!X20*Vekting!$E$3</f>
        <v>20</v>
      </c>
      <c r="G19" s="64">
        <f>'Arbeidsark-K'!Y20*Vekting!$F$3</f>
        <v>4.4995989124387563</v>
      </c>
      <c r="H19" s="64">
        <f>'Arbeidsark-K'!Z20*Vekting!$G$3</f>
        <v>5</v>
      </c>
      <c r="I19" s="64">
        <f>'Arbeidsark-K'!AA20*Vekting!$H$3</f>
        <v>8.7387983112470007</v>
      </c>
      <c r="J19" s="64">
        <f>'Arbeidsark-K'!AB20*Vekting!$I$3</f>
        <v>3.0405294293099914</v>
      </c>
      <c r="K19" s="64">
        <f>'Arbeidsark-K'!AC20*Vekting!$J$3</f>
        <v>5.1838276130178826</v>
      </c>
      <c r="L19" s="63">
        <f t="shared" si="0"/>
        <v>79.320044411479302</v>
      </c>
      <c r="M19" s="65" t="s">
        <v>468</v>
      </c>
    </row>
    <row r="20" spans="1:13" x14ac:dyDescent="0.25">
      <c r="A20" s="66" t="s">
        <v>19</v>
      </c>
      <c r="B20" s="66">
        <v>19</v>
      </c>
      <c r="C20" s="64">
        <f>'Arbeidsark-K'!U21*Vekting!$B$3</f>
        <v>20</v>
      </c>
      <c r="D20" s="64">
        <f>'Arbeidsark-K'!V21*Vekting!$C$3</f>
        <v>10</v>
      </c>
      <c r="E20" s="64">
        <f>'Arbeidsark-K'!W21*Vekting!$D$3</f>
        <v>9.4692553424035815</v>
      </c>
      <c r="F20" s="64">
        <f>'Arbeidsark-K'!X21*Vekting!$E$3</f>
        <v>20</v>
      </c>
      <c r="G20" s="64">
        <f>'Arbeidsark-K'!Y21*Vekting!$F$3</f>
        <v>2.9621041798501624</v>
      </c>
      <c r="H20" s="64">
        <f>'Arbeidsark-K'!Z21*Vekting!$G$3</f>
        <v>4.6138882707342033</v>
      </c>
      <c r="I20" s="64">
        <f>'Arbeidsark-K'!AA21*Vekting!$H$3</f>
        <v>10</v>
      </c>
      <c r="J20" s="64">
        <f>'Arbeidsark-K'!AB21*Vekting!$I$3</f>
        <v>5.317556283178682</v>
      </c>
      <c r="K20" s="64">
        <f>'Arbeidsark-K'!AC21*Vekting!$J$3</f>
        <v>10</v>
      </c>
      <c r="L20" s="63">
        <f t="shared" si="0"/>
        <v>92.36280407616664</v>
      </c>
      <c r="M20" s="65" t="s">
        <v>469</v>
      </c>
    </row>
    <row r="21" spans="1:13" x14ac:dyDescent="0.25">
      <c r="A21" s="66" t="s">
        <v>20</v>
      </c>
      <c r="B21" s="66">
        <v>20</v>
      </c>
      <c r="C21" s="64">
        <f>'Arbeidsark-K'!U22*Vekting!$B$3</f>
        <v>20</v>
      </c>
      <c r="D21" s="64">
        <f>'Arbeidsark-K'!V22*Vekting!$C$3</f>
        <v>10</v>
      </c>
      <c r="E21" s="64">
        <f>'Arbeidsark-K'!W22*Vekting!$D$3</f>
        <v>10</v>
      </c>
      <c r="F21" s="64">
        <f>'Arbeidsark-K'!X22*Vekting!$E$3</f>
        <v>15.609789719295748</v>
      </c>
      <c r="G21" s="64">
        <f>'Arbeidsark-K'!Y22*Vekting!$F$3</f>
        <v>3.1651963543782582</v>
      </c>
      <c r="H21" s="64">
        <f>'Arbeidsark-K'!Z22*Vekting!$G$3</f>
        <v>4.7199116884260546</v>
      </c>
      <c r="I21" s="64">
        <f>'Arbeidsark-K'!AA22*Vekting!$H$3</f>
        <v>10</v>
      </c>
      <c r="J21" s="64">
        <f>'Arbeidsark-K'!AB22*Vekting!$I$3</f>
        <v>5.2192761741589919</v>
      </c>
      <c r="K21" s="64">
        <f>'Arbeidsark-K'!AC22*Vekting!$J$3</f>
        <v>10</v>
      </c>
      <c r="L21" s="63">
        <f t="shared" si="0"/>
        <v>88.714173936259058</v>
      </c>
      <c r="M21" s="65" t="s">
        <v>470</v>
      </c>
    </row>
    <row r="22" spans="1:13" x14ac:dyDescent="0.25">
      <c r="A22" s="66" t="s">
        <v>21</v>
      </c>
      <c r="B22" s="66">
        <v>21</v>
      </c>
      <c r="C22" s="64">
        <f>'Arbeidsark-K'!U23*Vekting!$B$3</f>
        <v>20</v>
      </c>
      <c r="D22" s="64">
        <f>'Arbeidsark-K'!V23*Vekting!$C$3</f>
        <v>10</v>
      </c>
      <c r="E22" s="64">
        <f>'Arbeidsark-K'!W23*Vekting!$D$3</f>
        <v>10</v>
      </c>
      <c r="F22" s="64">
        <f>'Arbeidsark-K'!X23*Vekting!$E$3</f>
        <v>20</v>
      </c>
      <c r="G22" s="64">
        <f>'Arbeidsark-K'!Y23*Vekting!$F$3</f>
        <v>5</v>
      </c>
      <c r="H22" s="64">
        <f>'Arbeidsark-K'!Z23*Vekting!$G$3</f>
        <v>5</v>
      </c>
      <c r="I22" s="64">
        <f>'Arbeidsark-K'!AA23*Vekting!$H$3</f>
        <v>10</v>
      </c>
      <c r="J22" s="64">
        <f>'Arbeidsark-K'!AB23*Vekting!$I$3</f>
        <v>1.9059395717080152</v>
      </c>
      <c r="K22" s="64">
        <f>'Arbeidsark-K'!AC23*Vekting!$J$3</f>
        <v>7.58302787959569</v>
      </c>
      <c r="L22" s="63">
        <f t="shared" si="0"/>
        <v>89.488967451303708</v>
      </c>
      <c r="M22" s="65" t="s">
        <v>471</v>
      </c>
    </row>
    <row r="23" spans="1:13" x14ac:dyDescent="0.25">
      <c r="A23" s="66" t="s">
        <v>22</v>
      </c>
      <c r="B23" s="66">
        <v>22</v>
      </c>
      <c r="C23" s="64">
        <f>'Arbeidsark-K'!U24*Vekting!$B$3</f>
        <v>20</v>
      </c>
      <c r="D23" s="64">
        <f>'Arbeidsark-K'!V24*Vekting!$C$3</f>
        <v>10</v>
      </c>
      <c r="E23" s="64">
        <f>'Arbeidsark-K'!W24*Vekting!$D$3</f>
        <v>10</v>
      </c>
      <c r="F23" s="64">
        <f>'Arbeidsark-K'!X24*Vekting!$E$3</f>
        <v>16.191265226535286</v>
      </c>
      <c r="G23" s="64">
        <f>'Arbeidsark-K'!Y24*Vekting!$F$3</f>
        <v>1.1026364107382776</v>
      </c>
      <c r="H23" s="64">
        <f>'Arbeidsark-K'!Z24*Vekting!$G$3</f>
        <v>2.9673034466524459</v>
      </c>
      <c r="I23" s="64">
        <f>'Arbeidsark-K'!AA24*Vekting!$H$3</f>
        <v>9.4748381474416536</v>
      </c>
      <c r="J23" s="64">
        <f>'Arbeidsark-K'!AB24*Vekting!$I$3</f>
        <v>5.4356526249863517</v>
      </c>
      <c r="K23" s="64">
        <f>'Arbeidsark-K'!AC24*Vekting!$J$3</f>
        <v>10</v>
      </c>
      <c r="L23" s="63">
        <f t="shared" si="0"/>
        <v>85.171695856354006</v>
      </c>
      <c r="M23" s="65" t="s">
        <v>472</v>
      </c>
    </row>
    <row r="24" spans="1:13" x14ac:dyDescent="0.25">
      <c r="A24" s="66" t="s">
        <v>23</v>
      </c>
      <c r="B24" s="66">
        <v>23</v>
      </c>
      <c r="C24" s="64">
        <f>'Arbeidsark-K'!U25*Vekting!$B$3</f>
        <v>20</v>
      </c>
      <c r="D24" s="64">
        <f>'Arbeidsark-K'!V25*Vekting!$C$3</f>
        <v>10</v>
      </c>
      <c r="E24" s="64">
        <f>'Arbeidsark-K'!W25*Vekting!$D$3</f>
        <v>10</v>
      </c>
      <c r="F24" s="64">
        <f>'Arbeidsark-K'!X25*Vekting!$E$3</f>
        <v>15.359994509309765</v>
      </c>
      <c r="G24" s="64">
        <f>'Arbeidsark-K'!Y25*Vekting!$F$3</f>
        <v>2.508192202386037</v>
      </c>
      <c r="H24" s="64">
        <f>'Arbeidsark-K'!Z25*Vekting!$G$3</f>
        <v>4.9743115416712591</v>
      </c>
      <c r="I24" s="64">
        <f>'Arbeidsark-K'!AA25*Vekting!$H$3</f>
        <v>6.866336138822736</v>
      </c>
      <c r="J24" s="64">
        <f>'Arbeidsark-K'!AB25*Vekting!$I$3</f>
        <v>4.2455683684240908</v>
      </c>
      <c r="K24" s="64">
        <f>'Arbeidsark-K'!AC25*Vekting!$J$3</f>
        <v>10</v>
      </c>
      <c r="L24" s="63">
        <f t="shared" si="0"/>
        <v>83.954402760613874</v>
      </c>
      <c r="M24" s="65" t="s">
        <v>473</v>
      </c>
    </row>
    <row r="25" spans="1:13" x14ac:dyDescent="0.25">
      <c r="A25" s="66" t="s">
        <v>24</v>
      </c>
      <c r="B25" s="66">
        <v>24</v>
      </c>
      <c r="C25" s="64">
        <f>'Arbeidsark-K'!U26*Vekting!$B$3</f>
        <v>20</v>
      </c>
      <c r="D25" s="64">
        <f>'Arbeidsark-K'!V26*Vekting!$C$3</f>
        <v>10</v>
      </c>
      <c r="E25" s="64">
        <f>'Arbeidsark-K'!W26*Vekting!$D$3</f>
        <v>10</v>
      </c>
      <c r="F25" s="64">
        <f>'Arbeidsark-K'!X26*Vekting!$E$3</f>
        <v>15.452292352882381</v>
      </c>
      <c r="G25" s="64">
        <f>'Arbeidsark-K'!Y26*Vekting!$F$3</f>
        <v>2.1449470304020806</v>
      </c>
      <c r="H25" s="64">
        <f>'Arbeidsark-K'!Z26*Vekting!$G$3</f>
        <v>3.759208429938111</v>
      </c>
      <c r="I25" s="64">
        <f>'Arbeidsark-K'!AA26*Vekting!$H$3</f>
        <v>6.8714786115465305</v>
      </c>
      <c r="J25" s="64">
        <f>'Arbeidsark-K'!AB26*Vekting!$I$3</f>
        <v>5.6965879713356422</v>
      </c>
      <c r="K25" s="64">
        <f>'Arbeidsark-K'!AC26*Vekting!$J$3</f>
        <v>10</v>
      </c>
      <c r="L25" s="63">
        <f t="shared" si="0"/>
        <v>83.924514396104755</v>
      </c>
      <c r="M25" s="65" t="s">
        <v>474</v>
      </c>
    </row>
    <row r="26" spans="1:13" x14ac:dyDescent="0.25">
      <c r="A26" s="66" t="s">
        <v>25</v>
      </c>
      <c r="B26" s="66">
        <v>25</v>
      </c>
      <c r="C26" s="64">
        <f>'Arbeidsark-K'!U27*Vekting!$B$3</f>
        <v>20</v>
      </c>
      <c r="D26" s="64">
        <f>'Arbeidsark-K'!V27*Vekting!$C$3</f>
        <v>10</v>
      </c>
      <c r="E26" s="64">
        <f>'Arbeidsark-K'!W27*Vekting!$D$3</f>
        <v>10</v>
      </c>
      <c r="F26" s="64">
        <f>'Arbeidsark-K'!X27*Vekting!$E$3</f>
        <v>18.455843455705359</v>
      </c>
      <c r="G26" s="64">
        <f>'Arbeidsark-K'!Y27*Vekting!$F$3</f>
        <v>3.6364654931144162</v>
      </c>
      <c r="H26" s="64">
        <f>'Arbeidsark-K'!Z27*Vekting!$G$3</f>
        <v>4.4001693053338835</v>
      </c>
      <c r="I26" s="64">
        <f>'Arbeidsark-K'!AA27*Vekting!$H$3</f>
        <v>7.5974221693821207</v>
      </c>
      <c r="J26" s="64">
        <f>'Arbeidsark-K'!AB27*Vekting!$I$3</f>
        <v>5.02549589552806</v>
      </c>
      <c r="K26" s="64">
        <f>'Arbeidsark-K'!AC27*Vekting!$J$3</f>
        <v>10</v>
      </c>
      <c r="L26" s="63">
        <f t="shared" si="0"/>
        <v>89.115396319063848</v>
      </c>
      <c r="M26" s="65" t="s">
        <v>475</v>
      </c>
    </row>
    <row r="27" spans="1:13" x14ac:dyDescent="0.25">
      <c r="A27" s="66" t="s">
        <v>26</v>
      </c>
      <c r="B27" s="66">
        <v>26</v>
      </c>
      <c r="C27" s="64">
        <f>'Arbeidsark-K'!U28*Vekting!$B$3</f>
        <v>20</v>
      </c>
      <c r="D27" s="64">
        <f>'Arbeidsark-K'!V28*Vekting!$C$3</f>
        <v>10</v>
      </c>
      <c r="E27" s="64">
        <f>'Arbeidsark-K'!W28*Vekting!$D$3</f>
        <v>10</v>
      </c>
      <c r="F27" s="64">
        <f>'Arbeidsark-K'!X28*Vekting!$E$3</f>
        <v>18.841273424121223</v>
      </c>
      <c r="G27" s="64">
        <f>'Arbeidsark-K'!Y28*Vekting!$F$3</f>
        <v>3.2543648115627075</v>
      </c>
      <c r="H27" s="64">
        <f>'Arbeidsark-K'!Z28*Vekting!$G$3</f>
        <v>4.5953880267125093</v>
      </c>
      <c r="I27" s="64">
        <f>'Arbeidsark-K'!AA28*Vekting!$H$3</f>
        <v>7.4626459175941795</v>
      </c>
      <c r="J27" s="64">
        <f>'Arbeidsark-K'!AB28*Vekting!$I$3</f>
        <v>4.9819373345803655</v>
      </c>
      <c r="K27" s="64">
        <f>'Arbeidsark-K'!AC28*Vekting!$J$3</f>
        <v>10</v>
      </c>
      <c r="L27" s="63">
        <f t="shared" si="0"/>
        <v>89.135609514570987</v>
      </c>
      <c r="M27" s="65" t="s">
        <v>476</v>
      </c>
    </row>
    <row r="28" spans="1:13" x14ac:dyDescent="0.25">
      <c r="A28" s="66" t="s">
        <v>27</v>
      </c>
      <c r="B28" s="66">
        <v>27</v>
      </c>
      <c r="C28" s="64">
        <f>'Arbeidsark-K'!U29*Vekting!$B$3</f>
        <v>20</v>
      </c>
      <c r="D28" s="64">
        <f>'Arbeidsark-K'!V29*Vekting!$C$3</f>
        <v>10</v>
      </c>
      <c r="E28" s="64">
        <f>'Arbeidsark-K'!W29*Vekting!$D$3</f>
        <v>1.1597639507294404</v>
      </c>
      <c r="F28" s="64">
        <f>'Arbeidsark-K'!X29*Vekting!$E$3</f>
        <v>20</v>
      </c>
      <c r="G28" s="64">
        <f>'Arbeidsark-K'!Y29*Vekting!$F$3</f>
        <v>3.2094245381081485</v>
      </c>
      <c r="H28" s="64">
        <f>'Arbeidsark-K'!Z29*Vekting!$G$3</f>
        <v>3.3089886341589465</v>
      </c>
      <c r="I28" s="64">
        <f>'Arbeidsark-K'!AA29*Vekting!$H$3</f>
        <v>6.6414707702258156</v>
      </c>
      <c r="J28" s="64">
        <f>'Arbeidsark-K'!AB29*Vekting!$I$3</f>
        <v>3.7784550203730962</v>
      </c>
      <c r="K28" s="64">
        <f>'Arbeidsark-K'!AC29*Vekting!$J$3</f>
        <v>3.7176496723314454</v>
      </c>
      <c r="L28" s="63">
        <f t="shared" si="0"/>
        <v>71.815752585926901</v>
      </c>
      <c r="M28" s="65" t="s">
        <v>477</v>
      </c>
    </row>
    <row r="29" spans="1:13" x14ac:dyDescent="0.25">
      <c r="A29" s="66" t="s">
        <v>28</v>
      </c>
      <c r="B29" s="66">
        <v>28</v>
      </c>
      <c r="C29" s="64">
        <f>'Arbeidsark-K'!U30*Vekting!$B$3</f>
        <v>20</v>
      </c>
      <c r="D29" s="64">
        <f>'Arbeidsark-K'!V30*Vekting!$C$3</f>
        <v>10</v>
      </c>
      <c r="E29" s="64">
        <f>'Arbeidsark-K'!W30*Vekting!$D$3</f>
        <v>6.2791772050043271</v>
      </c>
      <c r="F29" s="64">
        <f>'Arbeidsark-K'!X30*Vekting!$E$3</f>
        <v>20</v>
      </c>
      <c r="G29" s="64">
        <f>'Arbeidsark-K'!Y30*Vekting!$F$3</f>
        <v>4.3781585006592065</v>
      </c>
      <c r="H29" s="64">
        <f>'Arbeidsark-K'!Z30*Vekting!$G$3</f>
        <v>5</v>
      </c>
      <c r="I29" s="64">
        <f>'Arbeidsark-K'!AA30*Vekting!$H$3</f>
        <v>10</v>
      </c>
      <c r="J29" s="64">
        <f>'Arbeidsark-K'!AB30*Vekting!$I$3</f>
        <v>5.6809512462077478</v>
      </c>
      <c r="K29" s="64">
        <f>'Arbeidsark-K'!AC30*Vekting!$J$3</f>
        <v>10</v>
      </c>
      <c r="L29" s="63">
        <f t="shared" si="0"/>
        <v>91.338286951871282</v>
      </c>
      <c r="M29" s="65" t="s">
        <v>478</v>
      </c>
    </row>
    <row r="30" spans="1:13" x14ac:dyDescent="0.25">
      <c r="A30" s="66" t="s">
        <v>29</v>
      </c>
      <c r="B30" s="66">
        <v>29</v>
      </c>
      <c r="C30" s="64">
        <f>'Arbeidsark-K'!U31*Vekting!$B$3</f>
        <v>20</v>
      </c>
      <c r="D30" s="64">
        <f>'Arbeidsark-K'!V31*Vekting!$C$3</f>
        <v>10</v>
      </c>
      <c r="E30" s="64">
        <f>'Arbeidsark-K'!W31*Vekting!$D$3</f>
        <v>4.7903751113715627</v>
      </c>
      <c r="F30" s="64">
        <f>'Arbeidsark-K'!X31*Vekting!$E$3</f>
        <v>20</v>
      </c>
      <c r="G30" s="64">
        <f>'Arbeidsark-K'!Y31*Vekting!$F$3</f>
        <v>3.2231945326882583</v>
      </c>
      <c r="H30" s="64">
        <f>'Arbeidsark-K'!Z31*Vekting!$G$3</f>
        <v>4.7192627854890343</v>
      </c>
      <c r="I30" s="64">
        <f>'Arbeidsark-K'!AA31*Vekting!$H$3</f>
        <v>10</v>
      </c>
      <c r="J30" s="64">
        <f>'Arbeidsark-K'!AB31*Vekting!$I$3</f>
        <v>5.6506411711591955</v>
      </c>
      <c r="K30" s="64">
        <f>'Arbeidsark-K'!AC31*Vekting!$J$3</f>
        <v>10</v>
      </c>
      <c r="L30" s="63">
        <f t="shared" si="0"/>
        <v>88.383473600708058</v>
      </c>
      <c r="M30" s="65" t="s">
        <v>479</v>
      </c>
    </row>
    <row r="31" spans="1:13" x14ac:dyDescent="0.25">
      <c r="A31" s="66" t="s">
        <v>30</v>
      </c>
      <c r="B31" s="66">
        <v>30</v>
      </c>
      <c r="C31" s="64">
        <f>'Arbeidsark-K'!U32*Vekting!$B$3</f>
        <v>20</v>
      </c>
      <c r="D31" s="64">
        <f>'Arbeidsark-K'!V32*Vekting!$C$3</f>
        <v>10</v>
      </c>
      <c r="E31" s="64">
        <f>'Arbeidsark-K'!W32*Vekting!$D$3</f>
        <v>10</v>
      </c>
      <c r="F31" s="64">
        <f>'Arbeidsark-K'!X32*Vekting!$E$3</f>
        <v>19.958751293381454</v>
      </c>
      <c r="G31" s="64">
        <f>'Arbeidsark-K'!Y32*Vekting!$F$3</f>
        <v>5</v>
      </c>
      <c r="H31" s="64">
        <f>'Arbeidsark-K'!Z32*Vekting!$G$3</f>
        <v>5</v>
      </c>
      <c r="I31" s="64">
        <f>'Arbeidsark-K'!AA32*Vekting!$H$3</f>
        <v>10</v>
      </c>
      <c r="J31" s="64">
        <f>'Arbeidsark-K'!AB32*Vekting!$I$3</f>
        <v>5.2645210267239229</v>
      </c>
      <c r="K31" s="64">
        <f>'Arbeidsark-K'!AC32*Vekting!$J$3</f>
        <v>10</v>
      </c>
      <c r="L31" s="63">
        <f t="shared" si="0"/>
        <v>95.22327232010538</v>
      </c>
      <c r="M31" s="65" t="s">
        <v>480</v>
      </c>
    </row>
    <row r="32" spans="1:13" x14ac:dyDescent="0.25">
      <c r="A32" s="66" t="s">
        <v>31</v>
      </c>
      <c r="B32" s="66">
        <v>31</v>
      </c>
      <c r="C32" s="64">
        <f>'Arbeidsark-K'!U33*Vekting!$B$3</f>
        <v>20</v>
      </c>
      <c r="D32" s="64">
        <f>'Arbeidsark-K'!V33*Vekting!$C$3</f>
        <v>10</v>
      </c>
      <c r="E32" s="64">
        <f>'Arbeidsark-K'!W33*Vekting!$D$3</f>
        <v>3.4087488365519194</v>
      </c>
      <c r="F32" s="64">
        <f>'Arbeidsark-K'!X33*Vekting!$E$3</f>
        <v>15.997769172027544</v>
      </c>
      <c r="G32" s="64">
        <f>'Arbeidsark-K'!Y33*Vekting!$F$3</f>
        <v>3.8008478177299789</v>
      </c>
      <c r="H32" s="64">
        <f>'Arbeidsark-K'!Z33*Vekting!$G$3</f>
        <v>5</v>
      </c>
      <c r="I32" s="64">
        <f>'Arbeidsark-K'!AA33*Vekting!$H$3</f>
        <v>10</v>
      </c>
      <c r="J32" s="64">
        <f>'Arbeidsark-K'!AB33*Vekting!$I$3</f>
        <v>4.1881469142355394</v>
      </c>
      <c r="K32" s="64">
        <f>'Arbeidsark-K'!AC33*Vekting!$J$3</f>
        <v>8.7048761523936466</v>
      </c>
      <c r="L32" s="63">
        <f t="shared" si="0"/>
        <v>81.100388892938653</v>
      </c>
      <c r="M32" s="65" t="s">
        <v>481</v>
      </c>
    </row>
    <row r="33" spans="1:13" x14ac:dyDescent="0.25">
      <c r="A33" s="66" t="s">
        <v>32</v>
      </c>
      <c r="B33" s="66">
        <v>32</v>
      </c>
      <c r="C33" s="64">
        <f>'Arbeidsark-K'!U34*Vekting!$B$3</f>
        <v>20</v>
      </c>
      <c r="D33" s="64">
        <f>'Arbeidsark-K'!V34*Vekting!$C$3</f>
        <v>10</v>
      </c>
      <c r="E33" s="64">
        <f>'Arbeidsark-K'!W34*Vekting!$D$3</f>
        <v>10</v>
      </c>
      <c r="F33" s="64">
        <f>'Arbeidsark-K'!X34*Vekting!$E$3</f>
        <v>20</v>
      </c>
      <c r="G33" s="64">
        <f>'Arbeidsark-K'!Y34*Vekting!$F$3</f>
        <v>4.5917957251978327</v>
      </c>
      <c r="H33" s="64">
        <f>'Arbeidsark-K'!Z34*Vekting!$G$3</f>
        <v>4.7790614796106059</v>
      </c>
      <c r="I33" s="64">
        <f>'Arbeidsark-K'!AA34*Vekting!$H$3</f>
        <v>10</v>
      </c>
      <c r="J33" s="64">
        <f>'Arbeidsark-K'!AB34*Vekting!$I$3</f>
        <v>4.0615015098739908</v>
      </c>
      <c r="K33" s="64">
        <f>'Arbeidsark-K'!AC34*Vekting!$J$3</f>
        <v>10</v>
      </c>
      <c r="L33" s="63">
        <f t="shared" si="0"/>
        <v>93.432358714682422</v>
      </c>
      <c r="M33" s="65" t="s">
        <v>482</v>
      </c>
    </row>
    <row r="34" spans="1:13" x14ac:dyDescent="0.25">
      <c r="A34" s="66" t="s">
        <v>33</v>
      </c>
      <c r="B34" s="66">
        <v>33</v>
      </c>
      <c r="C34" s="64">
        <f>'Arbeidsark-K'!U35*Vekting!$B$3</f>
        <v>20</v>
      </c>
      <c r="D34" s="64">
        <f>'Arbeidsark-K'!V35*Vekting!$C$3</f>
        <v>10</v>
      </c>
      <c r="E34" s="64">
        <f>'Arbeidsark-K'!W35*Vekting!$D$3</f>
        <v>10</v>
      </c>
      <c r="F34" s="64">
        <f>'Arbeidsark-K'!X35*Vekting!$E$3</f>
        <v>20</v>
      </c>
      <c r="G34" s="64">
        <f>'Arbeidsark-K'!Y35*Vekting!$F$3</f>
        <v>4.8997604331860822</v>
      </c>
      <c r="H34" s="64">
        <f>'Arbeidsark-K'!Z35*Vekting!$G$3</f>
        <v>4.699290021519178</v>
      </c>
      <c r="I34" s="64">
        <f>'Arbeidsark-K'!AA35*Vekting!$H$3</f>
        <v>9.9450599316601771</v>
      </c>
      <c r="J34" s="64">
        <f>'Arbeidsark-K'!AB35*Vekting!$I$3</f>
        <v>3.1678896882887031</v>
      </c>
      <c r="K34" s="64">
        <f>'Arbeidsark-K'!AC35*Vekting!$J$3</f>
        <v>10</v>
      </c>
      <c r="L34" s="63">
        <f t="shared" si="0"/>
        <v>92.712000074654156</v>
      </c>
      <c r="M34" s="65" t="s">
        <v>483</v>
      </c>
    </row>
    <row r="35" spans="1:13" x14ac:dyDescent="0.25">
      <c r="A35" s="66" t="s">
        <v>34</v>
      </c>
      <c r="B35" s="66">
        <v>34</v>
      </c>
      <c r="C35" s="64">
        <f>'Arbeidsark-K'!U36*Vekting!$B$3</f>
        <v>20</v>
      </c>
      <c r="D35" s="64">
        <f>'Arbeidsark-K'!V36*Vekting!$C$3</f>
        <v>10</v>
      </c>
      <c r="E35" s="64">
        <f>'Arbeidsark-K'!W36*Vekting!$D$3</f>
        <v>9.1971860543929047</v>
      </c>
      <c r="F35" s="64">
        <f>'Arbeidsark-K'!X36*Vekting!$E$3</f>
        <v>18.698778525674015</v>
      </c>
      <c r="G35" s="64">
        <f>'Arbeidsark-K'!Y36*Vekting!$F$3</f>
        <v>3.0082807229881734</v>
      </c>
      <c r="H35" s="64">
        <f>'Arbeidsark-K'!Z36*Vekting!$G$3</f>
        <v>5</v>
      </c>
      <c r="I35" s="64">
        <f>'Arbeidsark-K'!AA36*Vekting!$H$3</f>
        <v>7.7540871968745479</v>
      </c>
      <c r="J35" s="64">
        <f>'Arbeidsark-K'!AB36*Vekting!$I$3</f>
        <v>6.6497726245307902</v>
      </c>
      <c r="K35" s="64">
        <f>'Arbeidsark-K'!AC36*Vekting!$J$3</f>
        <v>10</v>
      </c>
      <c r="L35" s="63">
        <f t="shared" si="0"/>
        <v>90.30810512446044</v>
      </c>
      <c r="M35" s="65" t="s">
        <v>484</v>
      </c>
    </row>
    <row r="36" spans="1:13" x14ac:dyDescent="0.25">
      <c r="A36" s="66" t="s">
        <v>35</v>
      </c>
      <c r="B36" s="66">
        <v>35</v>
      </c>
      <c r="C36" s="64">
        <f>'Arbeidsark-K'!U37*Vekting!$B$3</f>
        <v>20</v>
      </c>
      <c r="D36" s="64">
        <f>'Arbeidsark-K'!V37*Vekting!$C$3</f>
        <v>10</v>
      </c>
      <c r="E36" s="64">
        <f>'Arbeidsark-K'!W37*Vekting!$D$3</f>
        <v>5.7717901486639143</v>
      </c>
      <c r="F36" s="64">
        <f>'Arbeidsark-K'!X37*Vekting!$E$3</f>
        <v>20</v>
      </c>
      <c r="G36" s="64">
        <f>'Arbeidsark-K'!Y37*Vekting!$F$3</f>
        <v>1.9651442659551845</v>
      </c>
      <c r="H36" s="64">
        <f>'Arbeidsark-K'!Z37*Vekting!$G$3</f>
        <v>5</v>
      </c>
      <c r="I36" s="64">
        <f>'Arbeidsark-K'!AA37*Vekting!$H$3</f>
        <v>10</v>
      </c>
      <c r="J36" s="64">
        <f>'Arbeidsark-K'!AB37*Vekting!$I$3</f>
        <v>8.084376229875323</v>
      </c>
      <c r="K36" s="64">
        <f>'Arbeidsark-K'!AC37*Vekting!$J$3</f>
        <v>10</v>
      </c>
      <c r="L36" s="63">
        <f t="shared" si="0"/>
        <v>90.821310644494417</v>
      </c>
      <c r="M36" s="65" t="s">
        <v>485</v>
      </c>
    </row>
    <row r="37" spans="1:13" x14ac:dyDescent="0.25">
      <c r="A37" s="66" t="s">
        <v>36</v>
      </c>
      <c r="B37" s="66">
        <v>36</v>
      </c>
      <c r="C37" s="64">
        <f>'Arbeidsark-K'!U38*Vekting!$B$3</f>
        <v>20</v>
      </c>
      <c r="D37" s="64">
        <f>'Arbeidsark-K'!V38*Vekting!$C$3</f>
        <v>10</v>
      </c>
      <c r="E37" s="64">
        <f>'Arbeidsark-K'!W38*Vekting!$D$3</f>
        <v>10</v>
      </c>
      <c r="F37" s="64">
        <f>'Arbeidsark-K'!X38*Vekting!$E$3</f>
        <v>20</v>
      </c>
      <c r="G37" s="64">
        <f>'Arbeidsark-K'!Y38*Vekting!$F$3</f>
        <v>5</v>
      </c>
      <c r="H37" s="64">
        <f>'Arbeidsark-K'!Z38*Vekting!$G$3</f>
        <v>5</v>
      </c>
      <c r="I37" s="64">
        <f>'Arbeidsark-K'!AA38*Vekting!$H$3</f>
        <v>10</v>
      </c>
      <c r="J37" s="64">
        <f>'Arbeidsark-K'!AB38*Vekting!$I$3</f>
        <v>3.8011357413250373</v>
      </c>
      <c r="K37" s="64">
        <f>'Arbeidsark-K'!AC38*Vekting!$J$3</f>
        <v>9.4046428968121738</v>
      </c>
      <c r="L37" s="63">
        <f t="shared" si="0"/>
        <v>93.205778638137218</v>
      </c>
      <c r="M37" s="65" t="s">
        <v>486</v>
      </c>
    </row>
    <row r="38" spans="1:13" x14ac:dyDescent="0.25">
      <c r="A38" s="66" t="s">
        <v>37</v>
      </c>
      <c r="B38" s="66">
        <v>37</v>
      </c>
      <c r="C38" s="64">
        <f>'Arbeidsark-K'!U39*Vekting!$B$3</f>
        <v>20</v>
      </c>
      <c r="D38" s="64">
        <f>'Arbeidsark-K'!V39*Vekting!$C$3</f>
        <v>10</v>
      </c>
      <c r="E38" s="64">
        <f>'Arbeidsark-K'!W39*Vekting!$D$3</f>
        <v>2.3910615294636344</v>
      </c>
      <c r="F38" s="64">
        <f>'Arbeidsark-K'!X39*Vekting!$E$3</f>
        <v>18.988326240514443</v>
      </c>
      <c r="G38" s="64">
        <f>'Arbeidsark-K'!Y39*Vekting!$F$3</f>
        <v>3.8304500490190936</v>
      </c>
      <c r="H38" s="64">
        <f>'Arbeidsark-K'!Z39*Vekting!$G$3</f>
        <v>4.5483950326880835</v>
      </c>
      <c r="I38" s="64">
        <f>'Arbeidsark-K'!AA39*Vekting!$H$3</f>
        <v>8.389017053506846</v>
      </c>
      <c r="J38" s="64">
        <f>'Arbeidsark-K'!AB39*Vekting!$I$3</f>
        <v>4.2717131272220277</v>
      </c>
      <c r="K38" s="64">
        <f>'Arbeidsark-K'!AC39*Vekting!$J$3</f>
        <v>5.7391980450960798</v>
      </c>
      <c r="L38" s="63">
        <f t="shared" si="0"/>
        <v>78.158161077510201</v>
      </c>
      <c r="M38" s="65" t="s">
        <v>487</v>
      </c>
    </row>
    <row r="39" spans="1:13" x14ac:dyDescent="0.25">
      <c r="A39" s="66" t="s">
        <v>38</v>
      </c>
      <c r="B39" s="66">
        <v>38</v>
      </c>
      <c r="C39" s="64">
        <f>'Arbeidsark-K'!U40*Vekting!$B$3</f>
        <v>20</v>
      </c>
      <c r="D39" s="64">
        <f>'Arbeidsark-K'!V40*Vekting!$C$3</f>
        <v>10</v>
      </c>
      <c r="E39" s="64">
        <f>'Arbeidsark-K'!W40*Vekting!$D$3</f>
        <v>3.8933847847672114</v>
      </c>
      <c r="F39" s="64">
        <f>'Arbeidsark-K'!X40*Vekting!$E$3</f>
        <v>20</v>
      </c>
      <c r="G39" s="64">
        <f>'Arbeidsark-K'!Y40*Vekting!$F$3</f>
        <v>5</v>
      </c>
      <c r="H39" s="64">
        <f>'Arbeidsark-K'!Z40*Vekting!$G$3</f>
        <v>4.8139392290224023</v>
      </c>
      <c r="I39" s="64">
        <f>'Arbeidsark-K'!AA40*Vekting!$H$3</f>
        <v>6.0256464919846309</v>
      </c>
      <c r="J39" s="64">
        <f>'Arbeidsark-K'!AB40*Vekting!$I$3</f>
        <v>2.5480461876884548</v>
      </c>
      <c r="K39" s="64">
        <f>'Arbeidsark-K'!AC40*Vekting!$J$3</f>
        <v>5.4837276463401095</v>
      </c>
      <c r="L39" s="63">
        <f t="shared" si="0"/>
        <v>77.764744339802817</v>
      </c>
      <c r="M39" s="65" t="s">
        <v>488</v>
      </c>
    </row>
    <row r="40" spans="1:13" x14ac:dyDescent="0.25">
      <c r="A40" s="66" t="s">
        <v>39</v>
      </c>
      <c r="B40" s="66">
        <v>39</v>
      </c>
      <c r="C40" s="64">
        <f>'Arbeidsark-K'!U41*Vekting!$B$3</f>
        <v>20</v>
      </c>
      <c r="D40" s="64">
        <f>'Arbeidsark-K'!V41*Vekting!$C$3</f>
        <v>10</v>
      </c>
      <c r="E40" s="64">
        <f>'Arbeidsark-K'!W41*Vekting!$D$3</f>
        <v>2.6736318166940052</v>
      </c>
      <c r="F40" s="64">
        <f>'Arbeidsark-K'!X41*Vekting!$E$3</f>
        <v>20</v>
      </c>
      <c r="G40" s="64">
        <f>'Arbeidsark-K'!Y41*Vekting!$F$3</f>
        <v>4.5798050608674101</v>
      </c>
      <c r="H40" s="64">
        <f>'Arbeidsark-K'!Z41*Vekting!$G$3</f>
        <v>5</v>
      </c>
      <c r="I40" s="64">
        <f>'Arbeidsark-K'!AA41*Vekting!$H$3</f>
        <v>10</v>
      </c>
      <c r="J40" s="64">
        <f>'Arbeidsark-K'!AB41*Vekting!$I$3</f>
        <v>4.3998224119596507</v>
      </c>
      <c r="K40" s="64">
        <f>'Arbeidsark-K'!AC41*Vekting!$J$3</f>
        <v>7.2275908030656453</v>
      </c>
      <c r="L40" s="63">
        <f t="shared" si="0"/>
        <v>83.880850092586712</v>
      </c>
      <c r="M40" s="65" t="s">
        <v>489</v>
      </c>
    </row>
    <row r="41" spans="1:13" x14ac:dyDescent="0.25">
      <c r="A41" s="66" t="s">
        <v>40</v>
      </c>
      <c r="B41" s="66">
        <v>40</v>
      </c>
      <c r="C41" s="64">
        <f>'Arbeidsark-K'!U42*Vekting!$B$3</f>
        <v>20</v>
      </c>
      <c r="D41" s="64">
        <f>'Arbeidsark-K'!V42*Vekting!$C$3</f>
        <v>10</v>
      </c>
      <c r="E41" s="64">
        <f>'Arbeidsark-K'!W42*Vekting!$D$3</f>
        <v>0.66827974398134282</v>
      </c>
      <c r="F41" s="64">
        <f>'Arbeidsark-K'!X42*Vekting!$E$3</f>
        <v>15.193095910760224</v>
      </c>
      <c r="G41" s="64">
        <f>'Arbeidsark-K'!Y42*Vekting!$F$3</f>
        <v>2.14854903312431</v>
      </c>
      <c r="H41" s="64">
        <f>'Arbeidsark-K'!Z42*Vekting!$G$3</f>
        <v>2.6320910013457679</v>
      </c>
      <c r="I41" s="64">
        <f>'Arbeidsark-K'!AA42*Vekting!$H$3</f>
        <v>0.8473389848027808</v>
      </c>
      <c r="J41" s="64">
        <f>'Arbeidsark-K'!AB42*Vekting!$I$3</f>
        <v>2.9406405412887509</v>
      </c>
      <c r="K41" s="64">
        <f>'Arbeidsark-K'!AC42*Vekting!$J$3</f>
        <v>2.7401977118738206</v>
      </c>
      <c r="L41" s="63">
        <f t="shared" si="0"/>
        <v>57.170192927176998</v>
      </c>
      <c r="M41" s="65" t="s">
        <v>490</v>
      </c>
    </row>
    <row r="42" spans="1:13" x14ac:dyDescent="0.25">
      <c r="A42" s="66" t="s">
        <v>41</v>
      </c>
      <c r="B42" s="66">
        <v>41</v>
      </c>
      <c r="C42" s="64">
        <f>'Arbeidsark-K'!U43*Vekting!$B$3</f>
        <v>20</v>
      </c>
      <c r="D42" s="64">
        <f>'Arbeidsark-K'!V43*Vekting!$C$3</f>
        <v>10</v>
      </c>
      <c r="E42" s="64">
        <f>'Arbeidsark-K'!W43*Vekting!$D$3</f>
        <v>10</v>
      </c>
      <c r="F42" s="64">
        <f>'Arbeidsark-K'!X43*Vekting!$E$3</f>
        <v>20</v>
      </c>
      <c r="G42" s="64">
        <f>'Arbeidsark-K'!Y43*Vekting!$F$3</f>
        <v>5</v>
      </c>
      <c r="H42" s="64">
        <f>'Arbeidsark-K'!Z43*Vekting!$G$3</f>
        <v>5</v>
      </c>
      <c r="I42" s="64">
        <f>'Arbeidsark-K'!AA43*Vekting!$H$3</f>
        <v>8.1528652393657897</v>
      </c>
      <c r="J42" s="64">
        <f>'Arbeidsark-K'!AB43*Vekting!$I$3</f>
        <v>0</v>
      </c>
      <c r="K42" s="64">
        <f>'Arbeidsark-K'!AC43*Vekting!$J$3</f>
        <v>10</v>
      </c>
      <c r="L42" s="63">
        <f t="shared" si="0"/>
        <v>88.152865239365795</v>
      </c>
      <c r="M42" s="65" t="s">
        <v>491</v>
      </c>
    </row>
    <row r="43" spans="1:13" x14ac:dyDescent="0.25">
      <c r="A43" s="66" t="s">
        <v>42</v>
      </c>
      <c r="B43" s="66">
        <v>42</v>
      </c>
      <c r="C43" s="64">
        <f>'Arbeidsark-K'!U44*Vekting!$B$3</f>
        <v>12</v>
      </c>
      <c r="D43" s="64">
        <f>'Arbeidsark-K'!V44*Vekting!$C$3</f>
        <v>9.2600782904015162</v>
      </c>
      <c r="E43" s="64">
        <f>'Arbeidsark-K'!W44*Vekting!$D$3</f>
        <v>1.1912640920061761</v>
      </c>
      <c r="F43" s="64">
        <f>'Arbeidsark-K'!X44*Vekting!$E$3</f>
        <v>7.8018322938705458</v>
      </c>
      <c r="G43" s="64">
        <f>'Arbeidsark-K'!Y44*Vekting!$F$3</f>
        <v>1.4300140562428532</v>
      </c>
      <c r="H43" s="64">
        <f>'Arbeidsark-K'!Z44*Vekting!$G$3</f>
        <v>1.4638049032453531</v>
      </c>
      <c r="I43" s="64">
        <f>'Arbeidsark-K'!AA44*Vekting!$H$3</f>
        <v>2.6861804095266835</v>
      </c>
      <c r="J43" s="64">
        <f>'Arbeidsark-K'!AB44*Vekting!$I$3</f>
        <v>0</v>
      </c>
      <c r="K43" s="64">
        <f>'Arbeidsark-K'!AC44*Vekting!$J$3</f>
        <v>2.4847273131178498</v>
      </c>
      <c r="L43" s="63">
        <f t="shared" si="0"/>
        <v>38.317901358410978</v>
      </c>
      <c r="M43" s="65" t="s">
        <v>492</v>
      </c>
    </row>
    <row r="44" spans="1:13" x14ac:dyDescent="0.25">
      <c r="A44" s="66" t="s">
        <v>43</v>
      </c>
      <c r="B44" s="66">
        <v>43</v>
      </c>
      <c r="C44" s="64">
        <f>'Arbeidsark-K'!U45*Vekting!$B$3</f>
        <v>14</v>
      </c>
      <c r="D44" s="64">
        <f>'Arbeidsark-K'!V45*Vekting!$C$3</f>
        <v>8.7498106691708823</v>
      </c>
      <c r="E44" s="64">
        <f>'Arbeidsark-K'!W45*Vekting!$D$3</f>
        <v>6.4054008212268716</v>
      </c>
      <c r="F44" s="64">
        <f>'Arbeidsark-K'!X45*Vekting!$E$3</f>
        <v>12.998665676832335</v>
      </c>
      <c r="G44" s="64">
        <f>'Arbeidsark-K'!Y45*Vekting!$F$3</f>
        <v>3.8617706423748306</v>
      </c>
      <c r="H44" s="64">
        <f>'Arbeidsark-K'!Z45*Vekting!$G$3</f>
        <v>1.9464431342847182</v>
      </c>
      <c r="I44" s="64">
        <f>'Arbeidsark-K'!AA45*Vekting!$H$3</f>
        <v>6.8541563928113334</v>
      </c>
      <c r="J44" s="64">
        <f>'Arbeidsark-K'!AB45*Vekting!$I$3</f>
        <v>2.9605706500253177</v>
      </c>
      <c r="K44" s="64">
        <f>'Arbeidsark-K'!AC45*Vekting!$J$3</f>
        <v>6.8388315006109082</v>
      </c>
      <c r="L44" s="63">
        <f t="shared" si="0"/>
        <v>64.615649487337208</v>
      </c>
      <c r="M44" s="65" t="s">
        <v>493</v>
      </c>
    </row>
    <row r="45" spans="1:13" x14ac:dyDescent="0.25">
      <c r="A45" s="66" t="s">
        <v>44</v>
      </c>
      <c r="B45" s="66">
        <v>44</v>
      </c>
      <c r="C45" s="64">
        <f>'Arbeidsark-K'!U46*Vekting!$B$3</f>
        <v>14</v>
      </c>
      <c r="D45" s="64">
        <f>'Arbeidsark-K'!V46*Vekting!$C$3</f>
        <v>8.373505127920323</v>
      </c>
      <c r="E45" s="64">
        <f>'Arbeidsark-K'!W46*Vekting!$D$3</f>
        <v>1.8775566939154118</v>
      </c>
      <c r="F45" s="64">
        <f>'Arbeidsark-K'!X46*Vekting!$E$3</f>
        <v>9.7311199046139158</v>
      </c>
      <c r="G45" s="64">
        <f>'Arbeidsark-K'!Y46*Vekting!$F$3</f>
        <v>2.8371986412289032</v>
      </c>
      <c r="H45" s="64">
        <f>'Arbeidsark-K'!Z46*Vekting!$G$3</f>
        <v>2.8634554449861449</v>
      </c>
      <c r="I45" s="64">
        <f>'Arbeidsark-K'!AA46*Vekting!$H$3</f>
        <v>6.0784085006346347</v>
      </c>
      <c r="J45" s="64">
        <f>'Arbeidsark-K'!AB46*Vekting!$I$3</f>
        <v>4.9426234711515322</v>
      </c>
      <c r="K45" s="64">
        <f>'Arbeidsark-K'!AC46*Vekting!$J$3</f>
        <v>2.9623458847050985</v>
      </c>
      <c r="L45" s="63">
        <f t="shared" si="0"/>
        <v>53.666213669155972</v>
      </c>
      <c r="M45" s="65" t="s">
        <v>494</v>
      </c>
    </row>
    <row r="46" spans="1:13" x14ac:dyDescent="0.25">
      <c r="A46" s="66" t="s">
        <v>45</v>
      </c>
      <c r="B46" s="66">
        <v>45</v>
      </c>
      <c r="C46" s="64">
        <f>'Arbeidsark-K'!U47*Vekting!$B$3</f>
        <v>14</v>
      </c>
      <c r="D46" s="64">
        <f>'Arbeidsark-K'!V47*Vekting!$C$3</f>
        <v>8.8144355921763449</v>
      </c>
      <c r="E46" s="64">
        <f>'Arbeidsark-K'!W47*Vekting!$D$3</f>
        <v>1.4470528837447674</v>
      </c>
      <c r="F46" s="64">
        <f>'Arbeidsark-K'!X47*Vekting!$E$3</f>
        <v>8.7266485417718123</v>
      </c>
      <c r="G46" s="64">
        <f>'Arbeidsark-K'!Y47*Vekting!$F$3</f>
        <v>3.2988735478661484</v>
      </c>
      <c r="H46" s="64">
        <f>'Arbeidsark-K'!Z47*Vekting!$G$3</f>
        <v>2.6665223446272002</v>
      </c>
      <c r="I46" s="64">
        <f>'Arbeidsark-K'!AA47*Vekting!$H$3</f>
        <v>5.4905275803950584</v>
      </c>
      <c r="J46" s="64">
        <f>'Arbeidsark-K'!AB47*Vekting!$I$3</f>
        <v>2.3961498053353623</v>
      </c>
      <c r="K46" s="64">
        <f>'Arbeidsark-K'!AC47*Vekting!$J$3</f>
        <v>1.2406975452626896</v>
      </c>
      <c r="L46" s="63">
        <f t="shared" si="0"/>
        <v>48.080907841179382</v>
      </c>
      <c r="M46" s="65" t="s">
        <v>495</v>
      </c>
    </row>
    <row r="47" spans="1:13" x14ac:dyDescent="0.25">
      <c r="A47" s="66" t="s">
        <v>46</v>
      </c>
      <c r="B47" s="66">
        <v>46</v>
      </c>
      <c r="C47" s="64">
        <f>'Arbeidsark-K'!U48*Vekting!$B$3</f>
        <v>14</v>
      </c>
      <c r="D47" s="64">
        <f>'Arbeidsark-K'!V48*Vekting!$C$3</f>
        <v>9.154389614236333</v>
      </c>
      <c r="E47" s="64">
        <f>'Arbeidsark-K'!W48*Vekting!$D$3</f>
        <v>1.9978566986102095</v>
      </c>
      <c r="F47" s="64">
        <f>'Arbeidsark-K'!X48*Vekting!$E$3</f>
        <v>12.43883300838371</v>
      </c>
      <c r="G47" s="64">
        <f>'Arbeidsark-K'!Y48*Vekting!$F$3</f>
        <v>3.4721766623702344</v>
      </c>
      <c r="H47" s="64">
        <f>'Arbeidsark-K'!Z48*Vekting!$G$3</f>
        <v>2.8677165230821582</v>
      </c>
      <c r="I47" s="64">
        <f>'Arbeidsark-K'!AA48*Vekting!$H$3</f>
        <v>6.4526212453105103</v>
      </c>
      <c r="J47" s="64">
        <f>'Arbeidsark-K'!AB48*Vekting!$I$3</f>
        <v>2.9308372426612439</v>
      </c>
      <c r="K47" s="64">
        <f>'Arbeidsark-K'!AC48*Vekting!$J$3</f>
        <v>3.1400644229701218</v>
      </c>
      <c r="L47" s="63">
        <f t="shared" si="0"/>
        <v>56.454495417624514</v>
      </c>
      <c r="M47" s="65" t="s">
        <v>496</v>
      </c>
    </row>
    <row r="48" spans="1:13" x14ac:dyDescent="0.25">
      <c r="A48" s="66" t="s">
        <v>47</v>
      </c>
      <c r="B48" s="66">
        <v>47</v>
      </c>
      <c r="C48" s="64">
        <f>'Arbeidsark-K'!U49*Vekting!$B$3</f>
        <v>12</v>
      </c>
      <c r="D48" s="64">
        <f>'Arbeidsark-K'!V49*Vekting!$C$3</f>
        <v>9.4041380146011928</v>
      </c>
      <c r="E48" s="64">
        <f>'Arbeidsark-K'!W49*Vekting!$D$3</f>
        <v>0.65521039669584979</v>
      </c>
      <c r="F48" s="64">
        <f>'Arbeidsark-K'!X49*Vekting!$E$3</f>
        <v>5.4646925392229555</v>
      </c>
      <c r="G48" s="64">
        <f>'Arbeidsark-K'!Y49*Vekting!$F$3</f>
        <v>0.14047518873787795</v>
      </c>
      <c r="H48" s="64">
        <f>'Arbeidsark-K'!Z49*Vekting!$G$3</f>
        <v>0.81914153228269293</v>
      </c>
      <c r="I48" s="64">
        <f>'Arbeidsark-K'!AA49*Vekting!$H$3</f>
        <v>6.2252410885500833</v>
      </c>
      <c r="J48" s="64">
        <f>'Arbeidsark-K'!AB49*Vekting!$I$3</f>
        <v>0.72872369030769735</v>
      </c>
      <c r="K48" s="64">
        <f>'Arbeidsark-K'!AC49*Vekting!$J$3</f>
        <v>0.47428634899477945</v>
      </c>
      <c r="L48" s="63">
        <f t="shared" si="0"/>
        <v>35.911908799393132</v>
      </c>
      <c r="M48" s="65" t="s">
        <v>497</v>
      </c>
    </row>
    <row r="49" spans="1:13" x14ac:dyDescent="0.25">
      <c r="A49" s="66" t="s">
        <v>48</v>
      </c>
      <c r="B49" s="66">
        <v>48</v>
      </c>
      <c r="C49" s="64">
        <f>'Arbeidsark-K'!U50*Vekting!$B$3</f>
        <v>12</v>
      </c>
      <c r="D49" s="64">
        <f>'Arbeidsark-K'!V50*Vekting!$C$3</f>
        <v>9.8635808265931573</v>
      </c>
      <c r="E49" s="64">
        <f>'Arbeidsark-K'!W50*Vekting!$D$3</f>
        <v>1.041707491866825</v>
      </c>
      <c r="F49" s="64">
        <f>'Arbeidsark-K'!X50*Vekting!$E$3</f>
        <v>5.9421702861451111</v>
      </c>
      <c r="G49" s="64">
        <f>'Arbeidsark-K'!Y50*Vekting!$F$3</f>
        <v>2.3960969967184393</v>
      </c>
      <c r="H49" s="64">
        <f>'Arbeidsark-K'!Z50*Vekting!$G$3</f>
        <v>2.717573980361943</v>
      </c>
      <c r="I49" s="64">
        <f>'Arbeidsark-K'!AA50*Vekting!$H$3</f>
        <v>3.506068072608278</v>
      </c>
      <c r="J49" s="64">
        <f>'Arbeidsark-K'!AB50*Vekting!$I$3</f>
        <v>2.4985520351311692</v>
      </c>
      <c r="K49" s="64">
        <f>'Arbeidsark-K'!AC50*Vekting!$J$3</f>
        <v>3.1511718316116859</v>
      </c>
      <c r="L49" s="63">
        <f t="shared" si="0"/>
        <v>43.116921521036602</v>
      </c>
      <c r="M49" s="65" t="s">
        <v>498</v>
      </c>
    </row>
    <row r="50" spans="1:13" x14ac:dyDescent="0.25">
      <c r="A50" s="66" t="s">
        <v>49</v>
      </c>
      <c r="B50" s="66">
        <v>49</v>
      </c>
      <c r="C50" s="64">
        <f>'Arbeidsark-K'!U51*Vekting!$B$3</f>
        <v>12</v>
      </c>
      <c r="D50" s="64">
        <f>'Arbeidsark-K'!V51*Vekting!$C$3</f>
        <v>8.6548928135066099</v>
      </c>
      <c r="E50" s="64">
        <f>'Arbeidsark-K'!W51*Vekting!$D$3</f>
        <v>0.62025578685985616</v>
      </c>
      <c r="F50" s="64">
        <f>'Arbeidsark-K'!X51*Vekting!$E$3</f>
        <v>1.2164533103921913</v>
      </c>
      <c r="G50" s="64">
        <f>'Arbeidsark-K'!Y51*Vekting!$F$3</f>
        <v>0.10950415759486205</v>
      </c>
      <c r="H50" s="64">
        <f>'Arbeidsark-K'!Z51*Vekting!$G$3</f>
        <v>0.73512439615065439</v>
      </c>
      <c r="I50" s="64">
        <f>'Arbeidsark-K'!AA51*Vekting!$H$3</f>
        <v>1.1226468323241405</v>
      </c>
      <c r="J50" s="64">
        <f>'Arbeidsark-K'!AB51*Vekting!$I$3</f>
        <v>0</v>
      </c>
      <c r="K50" s="64">
        <f>'Arbeidsark-K'!AC51*Vekting!$J$3</f>
        <v>0</v>
      </c>
      <c r="L50" s="63">
        <f t="shared" si="0"/>
        <v>24.458877296828316</v>
      </c>
      <c r="M50" s="65" t="s">
        <v>499</v>
      </c>
    </row>
    <row r="51" spans="1:13" x14ac:dyDescent="0.25">
      <c r="A51" s="66" t="s">
        <v>50</v>
      </c>
      <c r="B51" s="66">
        <v>50</v>
      </c>
      <c r="C51" s="64">
        <f>'Arbeidsark-K'!U52*Vekting!$B$3</f>
        <v>10</v>
      </c>
      <c r="D51" s="64">
        <f>'Arbeidsark-K'!V52*Vekting!$C$3</f>
        <v>8.0927906186153447</v>
      </c>
      <c r="E51" s="64">
        <f>'Arbeidsark-K'!W52*Vekting!$D$3</f>
        <v>0.33245754903004043</v>
      </c>
      <c r="F51" s="64">
        <f>'Arbeidsark-K'!X52*Vekting!$E$3</f>
        <v>0</v>
      </c>
      <c r="G51" s="64">
        <f>'Arbeidsark-K'!Y52*Vekting!$F$3</f>
        <v>0</v>
      </c>
      <c r="H51" s="64">
        <f>'Arbeidsark-K'!Z52*Vekting!$G$3</f>
        <v>0</v>
      </c>
      <c r="I51" s="64">
        <f>'Arbeidsark-K'!AA52*Vekting!$H$3</f>
        <v>1.8248942517913891</v>
      </c>
      <c r="J51" s="64">
        <f>'Arbeidsark-K'!AB52*Vekting!$I$3</f>
        <v>0.25891182997580986</v>
      </c>
      <c r="K51" s="64">
        <f>'Arbeidsark-K'!AC52*Vekting!$J$3</f>
        <v>0</v>
      </c>
      <c r="L51" s="63">
        <f t="shared" si="0"/>
        <v>20.509054249412582</v>
      </c>
      <c r="M51" s="65" t="s">
        <v>500</v>
      </c>
    </row>
    <row r="52" spans="1:13" x14ac:dyDescent="0.25">
      <c r="A52" s="66" t="s">
        <v>51</v>
      </c>
      <c r="B52" s="66">
        <v>51</v>
      </c>
      <c r="C52" s="64">
        <f>'Arbeidsark-K'!U53*Vekting!$B$3</f>
        <v>12</v>
      </c>
      <c r="D52" s="64">
        <f>'Arbeidsark-K'!V53*Vekting!$C$3</f>
        <v>7.3751847027421853</v>
      </c>
      <c r="E52" s="64">
        <f>'Arbeidsark-K'!W53*Vekting!$D$3</f>
        <v>0.43192775710954834</v>
      </c>
      <c r="F52" s="64">
        <f>'Arbeidsark-K'!X53*Vekting!$E$3</f>
        <v>1.5819250813657988</v>
      </c>
      <c r="G52" s="64">
        <f>'Arbeidsark-K'!Y53*Vekting!$F$3</f>
        <v>0.46851549281298333</v>
      </c>
      <c r="H52" s="64">
        <f>'Arbeidsark-K'!Z53*Vekting!$G$3</f>
        <v>0</v>
      </c>
      <c r="I52" s="64">
        <f>'Arbeidsark-K'!AA53*Vekting!$H$3</f>
        <v>1.5674783178036849</v>
      </c>
      <c r="J52" s="64">
        <f>'Arbeidsark-K'!AB53*Vekting!$I$3</f>
        <v>0.96973878176722372</v>
      </c>
      <c r="K52" s="64">
        <f>'Arbeidsark-K'!AC53*Vekting!$J$3</f>
        <v>0</v>
      </c>
      <c r="L52" s="63">
        <f t="shared" si="0"/>
        <v>24.394770133601423</v>
      </c>
      <c r="M52" s="65" t="s">
        <v>501</v>
      </c>
    </row>
    <row r="53" spans="1:13" x14ac:dyDescent="0.25">
      <c r="A53" s="66" t="s">
        <v>52</v>
      </c>
      <c r="B53" s="66">
        <v>52</v>
      </c>
      <c r="C53" s="64">
        <f>'Arbeidsark-K'!U54*Vekting!$B$3</f>
        <v>12</v>
      </c>
      <c r="D53" s="64">
        <f>'Arbeidsark-K'!V54*Vekting!$C$3</f>
        <v>7.1658268792557367</v>
      </c>
      <c r="E53" s="64">
        <f>'Arbeidsark-K'!W54*Vekting!$D$3</f>
        <v>0.30271858461398438</v>
      </c>
      <c r="F53" s="64">
        <f>'Arbeidsark-K'!X54*Vekting!$E$3</f>
        <v>1.7199772001866336</v>
      </c>
      <c r="G53" s="64">
        <f>'Arbeidsark-K'!Y54*Vekting!$F$3</f>
        <v>0</v>
      </c>
      <c r="H53" s="64">
        <f>'Arbeidsark-K'!Z54*Vekting!$G$3</f>
        <v>0</v>
      </c>
      <c r="I53" s="64">
        <f>'Arbeidsark-K'!AA54*Vekting!$H$3</f>
        <v>1.7786702018537541</v>
      </c>
      <c r="J53" s="64">
        <f>'Arbeidsark-K'!AB54*Vekting!$I$3</f>
        <v>0.61664305685566634</v>
      </c>
      <c r="K53" s="64">
        <f>'Arbeidsark-K'!AC54*Vekting!$J$3</f>
        <v>0</v>
      </c>
      <c r="L53" s="63">
        <f t="shared" si="0"/>
        <v>23.583835922765772</v>
      </c>
      <c r="M53" s="65" t="s">
        <v>467</v>
      </c>
    </row>
    <row r="54" spans="1:13" x14ac:dyDescent="0.25">
      <c r="A54" s="66" t="s">
        <v>53</v>
      </c>
      <c r="B54" s="66">
        <v>53</v>
      </c>
      <c r="C54" s="64">
        <f>'Arbeidsark-K'!U55*Vekting!$B$3</f>
        <v>12</v>
      </c>
      <c r="D54" s="64">
        <f>'Arbeidsark-K'!V55*Vekting!$C$3</f>
        <v>8.2355039902524076</v>
      </c>
      <c r="E54" s="64">
        <f>'Arbeidsark-K'!W55*Vekting!$D$3</f>
        <v>1.1855988659760357</v>
      </c>
      <c r="F54" s="64">
        <f>'Arbeidsark-K'!X55*Vekting!$E$3</f>
        <v>12.865904669467307</v>
      </c>
      <c r="G54" s="64">
        <f>'Arbeidsark-K'!Y55*Vekting!$F$3</f>
        <v>4.6849512651427965</v>
      </c>
      <c r="H54" s="64">
        <f>'Arbeidsark-K'!Z55*Vekting!$G$3</f>
        <v>2.9025532882476743</v>
      </c>
      <c r="I54" s="64">
        <f>'Arbeidsark-K'!AA55*Vekting!$H$3</f>
        <v>6.5939991907354356</v>
      </c>
      <c r="J54" s="64">
        <f>'Arbeidsark-K'!AB55*Vekting!$I$3</f>
        <v>2.5304147091511879</v>
      </c>
      <c r="K54" s="64">
        <f>'Arbeidsark-K'!AC55*Vekting!$J$3</f>
        <v>3.5732533599911136</v>
      </c>
      <c r="L54" s="63">
        <f t="shared" si="0"/>
        <v>54.572179338963956</v>
      </c>
      <c r="M54" s="65" t="s">
        <v>502</v>
      </c>
    </row>
    <row r="55" spans="1:13" x14ac:dyDescent="0.25">
      <c r="A55" s="66" t="s">
        <v>54</v>
      </c>
      <c r="B55" s="66">
        <v>54</v>
      </c>
      <c r="C55" s="64">
        <f>'Arbeidsark-K'!U56*Vekting!$B$3</f>
        <v>4</v>
      </c>
      <c r="D55" s="64">
        <f>'Arbeidsark-K'!V56*Vekting!$C$3</f>
        <v>5.9554559254659232</v>
      </c>
      <c r="E55" s="64">
        <f>'Arbeidsark-K'!W56*Vekting!$D$3</f>
        <v>6.9125787002502645E-2</v>
      </c>
      <c r="F55" s="64">
        <f>'Arbeidsark-K'!X56*Vekting!$E$3</f>
        <v>1.7505284491067443</v>
      </c>
      <c r="G55" s="64">
        <f>'Arbeidsark-K'!Y56*Vekting!$F$3</f>
        <v>0.86791088321188004</v>
      </c>
      <c r="H55" s="64">
        <f>'Arbeidsark-K'!Z56*Vekting!$G$3</f>
        <v>0</v>
      </c>
      <c r="I55" s="64">
        <f>'Arbeidsark-K'!AA56*Vekting!$H$3</f>
        <v>2.7611480737693075</v>
      </c>
      <c r="J55" s="64">
        <f>'Arbeidsark-K'!AB56*Vekting!$I$3</f>
        <v>2.8146732071720653</v>
      </c>
      <c r="K55" s="64">
        <f>'Arbeidsark-K'!AC56*Vekting!$J$3</f>
        <v>0</v>
      </c>
      <c r="L55" s="63">
        <f t="shared" si="0"/>
        <v>18.218842325728424</v>
      </c>
      <c r="M55" s="65" t="s">
        <v>503</v>
      </c>
    </row>
    <row r="56" spans="1:13" x14ac:dyDescent="0.25">
      <c r="A56" s="66" t="s">
        <v>55</v>
      </c>
      <c r="B56" s="66">
        <v>55</v>
      </c>
      <c r="C56" s="64">
        <f>'Arbeidsark-K'!U57*Vekting!$B$3</f>
        <v>12</v>
      </c>
      <c r="D56" s="64">
        <f>'Arbeidsark-K'!V57*Vekting!$C$3</f>
        <v>7.2102565138219932</v>
      </c>
      <c r="E56" s="64">
        <f>'Arbeidsark-K'!W57*Vekting!$D$3</f>
        <v>0.15848185367609346</v>
      </c>
      <c r="F56" s="64">
        <f>'Arbeidsark-K'!X57*Vekting!$E$3</f>
        <v>9.4036776783551641</v>
      </c>
      <c r="G56" s="64">
        <f>'Arbeidsark-K'!Y57*Vekting!$F$3</f>
        <v>3.1790433671458889</v>
      </c>
      <c r="H56" s="64">
        <f>'Arbeidsark-K'!Z57*Vekting!$G$3</f>
        <v>2.4429721803820605</v>
      </c>
      <c r="I56" s="64">
        <f>'Arbeidsark-K'!AA57*Vekting!$H$3</f>
        <v>6.3964285472407258</v>
      </c>
      <c r="J56" s="64">
        <f>'Arbeidsark-K'!AB57*Vekting!$I$3</f>
        <v>0.32425535008520118</v>
      </c>
      <c r="K56" s="64">
        <f>'Arbeidsark-K'!AC57*Vekting!$J$3</f>
        <v>0.88526046873264486</v>
      </c>
      <c r="L56" s="63">
        <f t="shared" si="0"/>
        <v>42.000375959439772</v>
      </c>
      <c r="M56" s="65" t="s">
        <v>504</v>
      </c>
    </row>
    <row r="57" spans="1:13" x14ac:dyDescent="0.25">
      <c r="A57" s="66" t="s">
        <v>56</v>
      </c>
      <c r="B57" s="66">
        <v>56</v>
      </c>
      <c r="C57" s="64">
        <f>'Arbeidsark-K'!U58*Vekting!$B$3</f>
        <v>0</v>
      </c>
      <c r="D57" s="64">
        <f>'Arbeidsark-K'!V58*Vekting!$C$3</f>
        <v>5.3199775159122051</v>
      </c>
      <c r="E57" s="64">
        <f>'Arbeidsark-K'!W58*Vekting!$D$3</f>
        <v>0</v>
      </c>
      <c r="F57" s="64">
        <f>'Arbeidsark-K'!X58*Vekting!$E$3</f>
        <v>0</v>
      </c>
      <c r="G57" s="64">
        <f>'Arbeidsark-K'!Y58*Vekting!$F$3</f>
        <v>0.91405379570140255</v>
      </c>
      <c r="H57" s="64">
        <f>'Arbeidsark-K'!Z58*Vekting!$G$3</f>
        <v>0</v>
      </c>
      <c r="I57" s="64">
        <f>'Arbeidsark-K'!AA58*Vekting!$H$3</f>
        <v>1.2187534151357284</v>
      </c>
      <c r="J57" s="64">
        <f>'Arbeidsark-K'!AB58*Vekting!$I$3</f>
        <v>0</v>
      </c>
      <c r="K57" s="64">
        <f>'Arbeidsark-K'!AC58*Vekting!$J$3</f>
        <v>0</v>
      </c>
      <c r="L57" s="63">
        <f t="shared" si="0"/>
        <v>7.4527847267493357</v>
      </c>
      <c r="M57" s="65" t="s">
        <v>505</v>
      </c>
    </row>
    <row r="58" spans="1:13" x14ac:dyDescent="0.25">
      <c r="A58" s="66" t="s">
        <v>57</v>
      </c>
      <c r="B58" s="66">
        <v>57</v>
      </c>
      <c r="C58" s="64">
        <f>'Arbeidsark-K'!U59*Vekting!$B$3</f>
        <v>6</v>
      </c>
      <c r="D58" s="64">
        <f>'Arbeidsark-K'!V59*Vekting!$C$3</f>
        <v>3.970932248173169</v>
      </c>
      <c r="E58" s="64">
        <f>'Arbeidsark-K'!W59*Vekting!$D$3</f>
        <v>0</v>
      </c>
      <c r="F58" s="64">
        <f>'Arbeidsark-K'!X59*Vekting!$E$3</f>
        <v>0</v>
      </c>
      <c r="G58" s="64">
        <f>'Arbeidsark-K'!Y59*Vekting!$F$3</f>
        <v>0</v>
      </c>
      <c r="H58" s="64">
        <f>'Arbeidsark-K'!Z59*Vekting!$G$3</f>
        <v>0</v>
      </c>
      <c r="I58" s="64">
        <f>'Arbeidsark-K'!AA59*Vekting!$H$3</f>
        <v>0</v>
      </c>
      <c r="J58" s="64">
        <f>'Arbeidsark-K'!AB59*Vekting!$I$3</f>
        <v>5.1651091460311909</v>
      </c>
      <c r="K58" s="64">
        <f>'Arbeidsark-K'!AC59*Vekting!$J$3</f>
        <v>0</v>
      </c>
      <c r="L58" s="63">
        <f t="shared" si="0"/>
        <v>15.136041394204359</v>
      </c>
      <c r="M58" s="65" t="s">
        <v>506</v>
      </c>
    </row>
    <row r="59" spans="1:13" x14ac:dyDescent="0.25">
      <c r="A59" s="66" t="s">
        <v>58</v>
      </c>
      <c r="B59" s="66">
        <v>58</v>
      </c>
      <c r="C59" s="64">
        <f>'Arbeidsark-K'!U60*Vekting!$B$3</f>
        <v>4</v>
      </c>
      <c r="D59" s="64">
        <f>'Arbeidsark-K'!V60*Vekting!$C$3</f>
        <v>4.2051975940679718</v>
      </c>
      <c r="E59" s="64">
        <f>'Arbeidsark-K'!W60*Vekting!$D$3</f>
        <v>0</v>
      </c>
      <c r="F59" s="64">
        <f>'Arbeidsark-K'!X60*Vekting!$E$3</f>
        <v>0</v>
      </c>
      <c r="G59" s="64">
        <f>'Arbeidsark-K'!Y60*Vekting!$F$3</f>
        <v>0</v>
      </c>
      <c r="H59" s="64">
        <f>'Arbeidsark-K'!Z60*Vekting!$G$3</f>
        <v>0</v>
      </c>
      <c r="I59" s="64">
        <f>'Arbeidsark-K'!AA60*Vekting!$H$3</f>
        <v>0</v>
      </c>
      <c r="J59" s="64">
        <f>'Arbeidsark-K'!AB60*Vekting!$I$3</f>
        <v>8.7647647855283406</v>
      </c>
      <c r="K59" s="64">
        <f>'Arbeidsark-K'!AC60*Vekting!$J$3</f>
        <v>0</v>
      </c>
      <c r="L59" s="63">
        <f t="shared" si="0"/>
        <v>16.969962379596311</v>
      </c>
      <c r="M59" s="65" t="s">
        <v>507</v>
      </c>
    </row>
    <row r="60" spans="1:13" x14ac:dyDescent="0.25">
      <c r="A60" s="66" t="s">
        <v>59</v>
      </c>
      <c r="B60" s="66">
        <v>59</v>
      </c>
      <c r="C60" s="64">
        <f>'Arbeidsark-K'!U61*Vekting!$B$3</f>
        <v>6</v>
      </c>
      <c r="D60" s="64">
        <f>'Arbeidsark-K'!V61*Vekting!$C$3</f>
        <v>4.3856088374582223</v>
      </c>
      <c r="E60" s="64">
        <f>'Arbeidsark-K'!W61*Vekting!$D$3</f>
        <v>1.4730861021028829E-2</v>
      </c>
      <c r="F60" s="64">
        <f>'Arbeidsark-K'!X61*Vekting!$E$3</f>
        <v>0.30670829627784429</v>
      </c>
      <c r="G60" s="64">
        <f>'Arbeidsark-K'!Y61*Vekting!$F$3</f>
        <v>1.0055643245111974</v>
      </c>
      <c r="H60" s="64">
        <f>'Arbeidsark-K'!Z61*Vekting!$G$3</f>
        <v>2.6403278266211259</v>
      </c>
      <c r="I60" s="64">
        <f>'Arbeidsark-K'!AA61*Vekting!$H$3</f>
        <v>3.8472089872841178</v>
      </c>
      <c r="J60" s="64">
        <f>'Arbeidsark-K'!AB61*Vekting!$I$3</f>
        <v>7.0949821326195384</v>
      </c>
      <c r="K60" s="64">
        <f>'Arbeidsark-K'!AC61*Vekting!$J$3</f>
        <v>0</v>
      </c>
      <c r="L60" s="63">
        <f t="shared" si="0"/>
        <v>25.295131265793074</v>
      </c>
      <c r="M60" s="65" t="s">
        <v>508</v>
      </c>
    </row>
    <row r="61" spans="1:13" x14ac:dyDescent="0.25">
      <c r="A61" s="66" t="s">
        <v>60</v>
      </c>
      <c r="B61" s="66">
        <v>60</v>
      </c>
      <c r="C61" s="64">
        <f>'Arbeidsark-K'!U62*Vekting!$B$3</f>
        <v>6</v>
      </c>
      <c r="D61" s="64">
        <f>'Arbeidsark-K'!V62*Vekting!$C$3</f>
        <v>3.668002921585062</v>
      </c>
      <c r="E61" s="64">
        <f>'Arbeidsark-K'!W62*Vekting!$D$3</f>
        <v>0.12848807316314464</v>
      </c>
      <c r="F61" s="64">
        <f>'Arbeidsark-K'!X62*Vekting!$E$3</f>
        <v>8.114417858346064</v>
      </c>
      <c r="G61" s="64">
        <f>'Arbeidsark-K'!Y62*Vekting!$F$3</f>
        <v>1.8898061827661463</v>
      </c>
      <c r="H61" s="64">
        <f>'Arbeidsark-K'!Z62*Vekting!$G$3</f>
        <v>2.8627493979647549</v>
      </c>
      <c r="I61" s="64">
        <f>'Arbeidsark-K'!AA62*Vekting!$H$3</f>
        <v>3.3832797721747299</v>
      </c>
      <c r="J61" s="64">
        <f>'Arbeidsark-K'!AB62*Vekting!$I$3</f>
        <v>9.7851260274526961</v>
      </c>
      <c r="K61" s="64">
        <f>'Arbeidsark-K'!AC62*Vekting!$J$3</f>
        <v>2.1070754193046768</v>
      </c>
      <c r="L61" s="63">
        <f t="shared" si="0"/>
        <v>37.938945652757276</v>
      </c>
      <c r="M61" s="65" t="s">
        <v>509</v>
      </c>
    </row>
    <row r="62" spans="1:13" x14ac:dyDescent="0.25">
      <c r="A62" s="66" t="s">
        <v>61</v>
      </c>
      <c r="B62" s="66">
        <v>61</v>
      </c>
      <c r="C62" s="64">
        <f>'Arbeidsark-K'!U63*Vekting!$B$3</f>
        <v>6</v>
      </c>
      <c r="D62" s="64">
        <f>'Arbeidsark-K'!V63*Vekting!$C$3</f>
        <v>2.8588450314541634</v>
      </c>
      <c r="E62" s="64">
        <f>'Arbeidsark-K'!W63*Vekting!$D$3</f>
        <v>0.10027640694221276</v>
      </c>
      <c r="F62" s="64">
        <f>'Arbeidsark-K'!X63*Vekting!$E$3</f>
        <v>5.0877363104025024</v>
      </c>
      <c r="G62" s="64">
        <f>'Arbeidsark-K'!Y63*Vekting!$F$3</f>
        <v>2.08368133876961</v>
      </c>
      <c r="H62" s="64">
        <f>'Arbeidsark-K'!Z63*Vekting!$G$3</f>
        <v>2.9919442651910622</v>
      </c>
      <c r="I62" s="64">
        <f>'Arbeidsark-K'!AA63*Vekting!$H$3</f>
        <v>8.1484900182285624</v>
      </c>
      <c r="J62" s="64">
        <f>'Arbeidsark-K'!AB63*Vekting!$I$3</f>
        <v>10</v>
      </c>
      <c r="K62" s="64">
        <f>'Arbeidsark-K'!AC63*Vekting!$J$3</f>
        <v>2.0959680106631127</v>
      </c>
      <c r="L62" s="63">
        <f t="shared" si="0"/>
        <v>39.366941381651223</v>
      </c>
      <c r="M62" s="65" t="s">
        <v>510</v>
      </c>
    </row>
    <row r="63" spans="1:13" x14ac:dyDescent="0.25">
      <c r="A63" s="66" t="s">
        <v>62</v>
      </c>
      <c r="B63" s="66">
        <v>62</v>
      </c>
      <c r="C63" s="64">
        <f>'Arbeidsark-K'!U64*Vekting!$B$3</f>
        <v>6</v>
      </c>
      <c r="D63" s="64">
        <f>'Arbeidsark-K'!V64*Vekting!$C$3</f>
        <v>2.2664499039040873</v>
      </c>
      <c r="E63" s="64">
        <f>'Arbeidsark-K'!W64*Vekting!$D$3</f>
        <v>0</v>
      </c>
      <c r="F63" s="64">
        <f>'Arbeidsark-K'!X64*Vekting!$E$3</f>
        <v>0</v>
      </c>
      <c r="G63" s="64">
        <f>'Arbeidsark-K'!Y64*Vekting!$F$3</f>
        <v>0</v>
      </c>
      <c r="H63" s="64">
        <f>'Arbeidsark-K'!Z64*Vekting!$G$3</f>
        <v>0</v>
      </c>
      <c r="I63" s="64">
        <f>'Arbeidsark-K'!AA64*Vekting!$H$3</f>
        <v>0</v>
      </c>
      <c r="J63" s="64">
        <f>'Arbeidsark-K'!AB64*Vekting!$I$3</f>
        <v>10</v>
      </c>
      <c r="K63" s="64">
        <f>'Arbeidsark-K'!AC64*Vekting!$J$3</f>
        <v>0</v>
      </c>
      <c r="L63" s="63">
        <f t="shared" si="0"/>
        <v>18.266449903904089</v>
      </c>
      <c r="M63" s="65" t="s">
        <v>511</v>
      </c>
    </row>
    <row r="64" spans="1:13" x14ac:dyDescent="0.25">
      <c r="A64" s="66" t="s">
        <v>63</v>
      </c>
      <c r="B64" s="66">
        <v>63</v>
      </c>
      <c r="C64" s="64">
        <f>'Arbeidsark-K'!U65*Vekting!$B$3</f>
        <v>4</v>
      </c>
      <c r="D64" s="64">
        <f>'Arbeidsark-K'!V65*Vekting!$C$3</f>
        <v>5.0170481893240986</v>
      </c>
      <c r="E64" s="64">
        <f>'Arbeidsark-K'!W65*Vekting!$D$3</f>
        <v>4.7798807244788577E-2</v>
      </c>
      <c r="F64" s="64">
        <f>'Arbeidsark-K'!X65*Vekting!$E$3</f>
        <v>0.52153660943333768</v>
      </c>
      <c r="G64" s="64">
        <f>'Arbeidsark-K'!Y65*Vekting!$F$3</f>
        <v>0.70597310244349887</v>
      </c>
      <c r="H64" s="64">
        <f>'Arbeidsark-K'!Z65*Vekting!$G$3</f>
        <v>1.1212430380354066</v>
      </c>
      <c r="I64" s="64">
        <f>'Arbeidsark-K'!AA65*Vekting!$H$3</f>
        <v>1.3862930479154585</v>
      </c>
      <c r="J64" s="64">
        <f>'Arbeidsark-K'!AB65*Vekting!$I$3</f>
        <v>10</v>
      </c>
      <c r="K64" s="64">
        <f>'Arbeidsark-K'!AC65*Vekting!$J$3</f>
        <v>0</v>
      </c>
      <c r="L64" s="63">
        <f t="shared" si="0"/>
        <v>22.799892794396587</v>
      </c>
      <c r="M64" s="65" t="s">
        <v>512</v>
      </c>
    </row>
    <row r="65" spans="1:13" x14ac:dyDescent="0.25">
      <c r="A65" s="66" t="s">
        <v>64</v>
      </c>
      <c r="B65" s="66">
        <v>64</v>
      </c>
      <c r="C65" s="64">
        <f>'Arbeidsark-K'!U66*Vekting!$B$3</f>
        <v>14</v>
      </c>
      <c r="D65" s="64">
        <f>'Arbeidsark-K'!V66*Vekting!$C$3</f>
        <v>6.8804001359816098</v>
      </c>
      <c r="E65" s="64">
        <f>'Arbeidsark-K'!W66*Vekting!$D$3</f>
        <v>4.23729794405277</v>
      </c>
      <c r="F65" s="64">
        <f>'Arbeidsark-K'!X66*Vekting!$E$3</f>
        <v>12.268386132027938</v>
      </c>
      <c r="G65" s="64">
        <f>'Arbeidsark-K'!Y66*Vekting!$F$3</f>
        <v>5</v>
      </c>
      <c r="H65" s="64">
        <f>'Arbeidsark-K'!Z66*Vekting!$G$3</f>
        <v>2.7605935253806129</v>
      </c>
      <c r="I65" s="64">
        <f>'Arbeidsark-K'!AA66*Vekting!$H$3</f>
        <v>7.0889963356583863</v>
      </c>
      <c r="J65" s="64">
        <f>'Arbeidsark-K'!AB66*Vekting!$I$3</f>
        <v>5.1339584427060263</v>
      </c>
      <c r="K65" s="64">
        <f>'Arbeidsark-K'!AC66*Vekting!$J$3</f>
        <v>6.6388981450627575</v>
      </c>
      <c r="L65" s="63">
        <f t="shared" si="0"/>
        <v>64.008530660870093</v>
      </c>
      <c r="M65" s="65" t="s">
        <v>513</v>
      </c>
    </row>
    <row r="66" spans="1:13" x14ac:dyDescent="0.25">
      <c r="A66" s="66" t="s">
        <v>65</v>
      </c>
      <c r="B66" s="66">
        <v>65</v>
      </c>
      <c r="C66" s="64">
        <f>'Arbeidsark-K'!U67*Vekting!$B$3</f>
        <v>14</v>
      </c>
      <c r="D66" s="64">
        <f>'Arbeidsark-K'!V67*Vekting!$C$3</f>
        <v>7.7986125836842266</v>
      </c>
      <c r="E66" s="64">
        <f>'Arbeidsark-K'!W67*Vekting!$D$3</f>
        <v>3.2685640512293972</v>
      </c>
      <c r="F66" s="64">
        <f>'Arbeidsark-K'!X67*Vekting!$E$3</f>
        <v>12.063673597952308</v>
      </c>
      <c r="G66" s="64">
        <f>'Arbeidsark-K'!Y67*Vekting!$F$3</f>
        <v>3.9281761446025372</v>
      </c>
      <c r="H66" s="64">
        <f>'Arbeidsark-K'!Z67*Vekting!$G$3</f>
        <v>2.9867471296576249</v>
      </c>
      <c r="I66" s="64">
        <f>'Arbeidsark-K'!AA67*Vekting!$H$3</f>
        <v>5.9043904402820164</v>
      </c>
      <c r="J66" s="64">
        <f>'Arbeidsark-K'!AB67*Vekting!$I$3</f>
        <v>2.4352742275794483</v>
      </c>
      <c r="K66" s="64">
        <f>'Arbeidsark-K'!AC67*Vekting!$J$3</f>
        <v>4.0175497056536713</v>
      </c>
      <c r="L66" s="63">
        <f t="shared" ref="L66:L129" si="1">SUM(C66:K66)</f>
        <v>56.402987880641227</v>
      </c>
      <c r="M66" s="65" t="s">
        <v>514</v>
      </c>
    </row>
    <row r="67" spans="1:13" x14ac:dyDescent="0.25">
      <c r="A67" s="66" t="s">
        <v>66</v>
      </c>
      <c r="B67" s="66">
        <v>66</v>
      </c>
      <c r="C67" s="64">
        <f>'Arbeidsark-K'!U68*Vekting!$B$3</f>
        <v>2</v>
      </c>
      <c r="D67" s="64">
        <f>'Arbeidsark-K'!V68*Vekting!$C$3</f>
        <v>2.0146819746953053</v>
      </c>
      <c r="E67" s="64">
        <f>'Arbeidsark-K'!W68*Vekting!$D$3</f>
        <v>5.3299820382166276E-2</v>
      </c>
      <c r="F67" s="64">
        <f>'Arbeidsark-K'!X68*Vekting!$E$3</f>
        <v>0.50028433674439732</v>
      </c>
      <c r="G67" s="64">
        <f>'Arbeidsark-K'!Y68*Vekting!$F$3</f>
        <v>0.31956299913586084</v>
      </c>
      <c r="H67" s="64">
        <f>'Arbeidsark-K'!Z68*Vekting!$G$3</f>
        <v>0.47600960991014463</v>
      </c>
      <c r="I67" s="64">
        <f>'Arbeidsark-K'!AA68*Vekting!$H$3</f>
        <v>0.42121741089036108</v>
      </c>
      <c r="J67" s="64">
        <f>'Arbeidsark-K'!AB68*Vekting!$I$3</f>
        <v>5.9405603471711936</v>
      </c>
      <c r="K67" s="64">
        <f>'Arbeidsark-K'!AC68*Vekting!$J$3</f>
        <v>0</v>
      </c>
      <c r="L67" s="63">
        <f t="shared" si="1"/>
        <v>11.72561649892943</v>
      </c>
      <c r="M67" s="65" t="s">
        <v>515</v>
      </c>
    </row>
    <row r="68" spans="1:13" x14ac:dyDescent="0.25">
      <c r="A68" s="66" t="s">
        <v>67</v>
      </c>
      <c r="B68" s="66">
        <v>67</v>
      </c>
      <c r="C68" s="64">
        <f>'Arbeidsark-K'!U69*Vekting!$B$3</f>
        <v>2</v>
      </c>
      <c r="D68" s="64">
        <f>'Arbeidsark-K'!V69*Vekting!$C$3</f>
        <v>1.0681961231777979</v>
      </c>
      <c r="E68" s="64">
        <f>'Arbeidsark-K'!W69*Vekting!$D$3</f>
        <v>0</v>
      </c>
      <c r="F68" s="64">
        <f>'Arbeidsark-K'!X69*Vekting!$E$3</f>
        <v>0.61038279002755191</v>
      </c>
      <c r="G68" s="64">
        <f>'Arbeidsark-K'!Y69*Vekting!$F$3</f>
        <v>0.44175894945331323</v>
      </c>
      <c r="H68" s="64">
        <f>'Arbeidsark-K'!Z69*Vekting!$G$3</f>
        <v>1.2842600279184211</v>
      </c>
      <c r="I68" s="64">
        <f>'Arbeidsark-K'!AA69*Vekting!$H$3</f>
        <v>0</v>
      </c>
      <c r="J68" s="64">
        <f>'Arbeidsark-K'!AB69*Vekting!$I$3</f>
        <v>10</v>
      </c>
      <c r="K68" s="64">
        <f>'Arbeidsark-K'!AC69*Vekting!$J$3</f>
        <v>3.2733533266688881</v>
      </c>
      <c r="L68" s="63">
        <f t="shared" si="1"/>
        <v>18.677951217245973</v>
      </c>
      <c r="M68" s="65" t="s">
        <v>516</v>
      </c>
    </row>
    <row r="69" spans="1:13" x14ac:dyDescent="0.25">
      <c r="A69" s="66" t="s">
        <v>68</v>
      </c>
      <c r="B69" s="66">
        <v>68</v>
      </c>
      <c r="C69" s="64">
        <f>'Arbeidsark-K'!U70*Vekting!$B$3</f>
        <v>2</v>
      </c>
      <c r="D69" s="64">
        <f>'Arbeidsark-K'!V70*Vekting!$C$3</f>
        <v>0.3600146752429344</v>
      </c>
      <c r="E69" s="64">
        <f>'Arbeidsark-K'!W70*Vekting!$D$3</f>
        <v>0</v>
      </c>
      <c r="F69" s="64">
        <f>'Arbeidsark-K'!X70*Vekting!$E$3</f>
        <v>0</v>
      </c>
      <c r="G69" s="64">
        <f>'Arbeidsark-K'!Y70*Vekting!$F$3</f>
        <v>1.0797557385792531</v>
      </c>
      <c r="H69" s="64">
        <f>'Arbeidsark-K'!Z70*Vekting!$G$3</f>
        <v>0</v>
      </c>
      <c r="I69" s="64">
        <f>'Arbeidsark-K'!AA70*Vekting!$H$3</f>
        <v>0</v>
      </c>
      <c r="J69" s="64">
        <f>'Arbeidsark-K'!AB70*Vekting!$I$3</f>
        <v>7.440865682150644</v>
      </c>
      <c r="K69" s="64">
        <f>'Arbeidsark-K'!AC70*Vekting!$J$3</f>
        <v>0.76307897367544086</v>
      </c>
      <c r="L69" s="63">
        <f t="shared" si="1"/>
        <v>11.643715069648273</v>
      </c>
      <c r="M69" s="65" t="s">
        <v>517</v>
      </c>
    </row>
    <row r="70" spans="1:13" x14ac:dyDescent="0.25">
      <c r="A70" s="66" t="s">
        <v>69</v>
      </c>
      <c r="B70" s="66">
        <v>69</v>
      </c>
      <c r="C70" s="64">
        <f>'Arbeidsark-K'!U71*Vekting!$B$3</f>
        <v>2</v>
      </c>
      <c r="D70" s="64">
        <f>'Arbeidsark-K'!V71*Vekting!$C$3</f>
        <v>1.0278055462993836</v>
      </c>
      <c r="E70" s="64">
        <f>'Arbeidsark-K'!W71*Vekting!$D$3</f>
        <v>0</v>
      </c>
      <c r="F70" s="64">
        <f>'Arbeidsark-K'!X71*Vekting!$E$3</f>
        <v>2.009812820977996</v>
      </c>
      <c r="G70" s="64">
        <f>'Arbeidsark-K'!Y71*Vekting!$F$3</f>
        <v>1.3316511384390575</v>
      </c>
      <c r="H70" s="64">
        <f>'Arbeidsark-K'!Z71*Vekting!$G$3</f>
        <v>1.5620541042924829</v>
      </c>
      <c r="I70" s="64">
        <f>'Arbeidsark-K'!AA71*Vekting!$H$3</f>
        <v>0</v>
      </c>
      <c r="J70" s="64">
        <f>'Arbeidsark-K'!AB71*Vekting!$I$3</f>
        <v>7.5527691834695396</v>
      </c>
      <c r="K70" s="64">
        <f>'Arbeidsark-K'!AC71*Vekting!$J$3</f>
        <v>0.64089747861823843</v>
      </c>
      <c r="L70" s="63">
        <f t="shared" si="1"/>
        <v>16.124990272096699</v>
      </c>
      <c r="M70" s="65" t="s">
        <v>518</v>
      </c>
    </row>
    <row r="71" spans="1:13" x14ac:dyDescent="0.25">
      <c r="A71" s="66" t="s">
        <v>70</v>
      </c>
      <c r="B71" s="66">
        <v>70</v>
      </c>
      <c r="C71" s="64">
        <f>'Arbeidsark-K'!U72*Vekting!$B$3</f>
        <v>2</v>
      </c>
      <c r="D71" s="64">
        <f>'Arbeidsark-K'!V72*Vekting!$C$3</f>
        <v>2.0362236156971263</v>
      </c>
      <c r="E71" s="64">
        <f>'Arbeidsark-K'!W72*Vekting!$D$3</f>
        <v>0.11115485771056939</v>
      </c>
      <c r="F71" s="64">
        <f>'Arbeidsark-K'!X72*Vekting!$E$3</f>
        <v>2.7543894437627645</v>
      </c>
      <c r="G71" s="64">
        <f>'Arbeidsark-K'!Y72*Vekting!$F$3</f>
        <v>1.2590878639111525</v>
      </c>
      <c r="H71" s="64">
        <f>'Arbeidsark-K'!Z72*Vekting!$G$3</f>
        <v>0.47168940055176733</v>
      </c>
      <c r="I71" s="64">
        <f>'Arbeidsark-K'!AA72*Vekting!$H$3</f>
        <v>2.8668611572507103</v>
      </c>
      <c r="J71" s="64">
        <f>'Arbeidsark-K'!AB72*Vekting!$I$3</f>
        <v>8.332702677510273</v>
      </c>
      <c r="K71" s="64">
        <f>'Arbeidsark-K'!AC72*Vekting!$J$3</f>
        <v>1.2184827279795627</v>
      </c>
      <c r="L71" s="63">
        <f t="shared" si="1"/>
        <v>21.050591744373925</v>
      </c>
      <c r="M71" s="65" t="s">
        <v>519</v>
      </c>
    </row>
    <row r="72" spans="1:13" x14ac:dyDescent="0.25">
      <c r="A72" s="66" t="s">
        <v>71</v>
      </c>
      <c r="B72" s="66">
        <v>71</v>
      </c>
      <c r="C72" s="64">
        <f>'Arbeidsark-K'!U73*Vekting!$B$3</f>
        <v>6</v>
      </c>
      <c r="D72" s="64">
        <f>'Arbeidsark-K'!V73*Vekting!$C$3</f>
        <v>4.2388564081333167</v>
      </c>
      <c r="E72" s="64">
        <f>'Arbeidsark-K'!W73*Vekting!$D$3</f>
        <v>0.28084791198417919</v>
      </c>
      <c r="F72" s="64">
        <f>'Arbeidsark-K'!X73*Vekting!$E$3</f>
        <v>3.7007771946019208</v>
      </c>
      <c r="G72" s="64">
        <f>'Arbeidsark-K'!Y73*Vekting!$F$3</f>
        <v>0.67859434692513865</v>
      </c>
      <c r="H72" s="64">
        <f>'Arbeidsark-K'!Z73*Vekting!$G$3</f>
        <v>0.89911182593318173</v>
      </c>
      <c r="I72" s="64">
        <f>'Arbeidsark-K'!AA73*Vekting!$H$3</f>
        <v>1.8803863047671514</v>
      </c>
      <c r="J72" s="64">
        <f>'Arbeidsark-K'!AB73*Vekting!$I$3</f>
        <v>5.9475884573095446</v>
      </c>
      <c r="K72" s="64">
        <f>'Arbeidsark-K'!AC73*Vekting!$J$3</f>
        <v>3.8065089414639566</v>
      </c>
      <c r="L72" s="63">
        <f t="shared" si="1"/>
        <v>27.432671391118387</v>
      </c>
      <c r="M72" s="65" t="s">
        <v>520</v>
      </c>
    </row>
    <row r="73" spans="1:13" x14ac:dyDescent="0.25">
      <c r="A73" s="66" t="s">
        <v>72</v>
      </c>
      <c r="B73" s="66">
        <v>72</v>
      </c>
      <c r="C73" s="64">
        <f>'Arbeidsark-K'!U74*Vekting!$B$3</f>
        <v>2</v>
      </c>
      <c r="D73" s="64">
        <f>'Arbeidsark-K'!V74*Vekting!$C$3</f>
        <v>3.0890713196611248</v>
      </c>
      <c r="E73" s="64">
        <f>'Arbeidsark-K'!W74*Vekting!$D$3</f>
        <v>0.39442177578677051</v>
      </c>
      <c r="F73" s="64">
        <f>'Arbeidsark-K'!X74*Vekting!$E$3</f>
        <v>2.1126618161626598</v>
      </c>
      <c r="G73" s="64">
        <f>'Arbeidsark-K'!Y74*Vekting!$F$3</f>
        <v>0.22441112522356976</v>
      </c>
      <c r="H73" s="64">
        <f>'Arbeidsark-K'!Z74*Vekting!$G$3</f>
        <v>1.1892535856482453</v>
      </c>
      <c r="I73" s="64">
        <f>'Arbeidsark-K'!AA74*Vekting!$H$3</f>
        <v>3.0571261290261291</v>
      </c>
      <c r="J73" s="64">
        <f>'Arbeidsark-K'!AB74*Vekting!$I$3</f>
        <v>3.3774231974384592</v>
      </c>
      <c r="K73" s="64">
        <f>'Arbeidsark-K'!AC74*Vekting!$J$3</f>
        <v>0</v>
      </c>
      <c r="L73" s="63">
        <f t="shared" si="1"/>
        <v>15.444368948946957</v>
      </c>
      <c r="M73" s="65" t="s">
        <v>521</v>
      </c>
    </row>
    <row r="74" spans="1:13" x14ac:dyDescent="0.25">
      <c r="A74" s="66" t="s">
        <v>73</v>
      </c>
      <c r="B74" s="66">
        <v>73</v>
      </c>
      <c r="C74" s="64">
        <f>'Arbeidsark-K'!U75*Vekting!$B$3</f>
        <v>12</v>
      </c>
      <c r="D74" s="64">
        <f>'Arbeidsark-K'!V75*Vekting!$C$3</f>
        <v>4.7410459139882679</v>
      </c>
      <c r="E74" s="64">
        <f>'Arbeidsark-K'!W75*Vekting!$D$3</f>
        <v>0.22480858145597296</v>
      </c>
      <c r="F74" s="64">
        <f>'Arbeidsark-K'!X75*Vekting!$E$3</f>
        <v>3.728188134511635</v>
      </c>
      <c r="G74" s="64">
        <f>'Arbeidsark-K'!Y75*Vekting!$F$3</f>
        <v>0.81808760268767244</v>
      </c>
      <c r="H74" s="64">
        <f>'Arbeidsark-K'!Z75*Vekting!$G$3</f>
        <v>1.3887607152683117</v>
      </c>
      <c r="I74" s="64">
        <f>'Arbeidsark-K'!AA75*Vekting!$H$3</f>
        <v>1.3131605190345725</v>
      </c>
      <c r="J74" s="64">
        <f>'Arbeidsark-K'!AB75*Vekting!$I$3</f>
        <v>8.8783629152583181</v>
      </c>
      <c r="K74" s="64">
        <f>'Arbeidsark-K'!AC75*Vekting!$J$3</f>
        <v>2.5958013995334897</v>
      </c>
      <c r="L74" s="63">
        <f t="shared" si="1"/>
        <v>35.688215781738243</v>
      </c>
      <c r="M74" s="65" t="s">
        <v>522</v>
      </c>
    </row>
    <row r="75" spans="1:13" x14ac:dyDescent="0.25">
      <c r="A75" s="66" t="s">
        <v>74</v>
      </c>
      <c r="B75" s="66">
        <v>74</v>
      </c>
      <c r="C75" s="64">
        <f>'Arbeidsark-K'!U76*Vekting!$B$3</f>
        <v>12</v>
      </c>
      <c r="D75" s="64">
        <f>'Arbeidsark-K'!V76*Vekting!$C$3</f>
        <v>5.1557225032733207</v>
      </c>
      <c r="E75" s="64">
        <f>'Arbeidsark-K'!W76*Vekting!$D$3</f>
        <v>0.17612861354546683</v>
      </c>
      <c r="F75" s="64">
        <f>'Arbeidsark-K'!X76*Vekting!$E$3</f>
        <v>3.6579005788396675</v>
      </c>
      <c r="G75" s="64">
        <f>'Arbeidsark-K'!Y76*Vekting!$F$3</f>
        <v>1.325784183323961</v>
      </c>
      <c r="H75" s="64">
        <f>'Arbeidsark-K'!Z76*Vekting!$G$3</f>
        <v>0.44430824246816797</v>
      </c>
      <c r="I75" s="64">
        <f>'Arbeidsark-K'!AA76*Vekting!$H$3</f>
        <v>1.7179918119325919</v>
      </c>
      <c r="J75" s="64">
        <f>'Arbeidsark-K'!AB76*Vekting!$I$3</f>
        <v>6.2341783956413117</v>
      </c>
      <c r="K75" s="64">
        <f>'Arbeidsark-K'!AC76*Vekting!$J$3</f>
        <v>0.7852937909585691</v>
      </c>
      <c r="L75" s="63">
        <f t="shared" si="1"/>
        <v>31.497308119983057</v>
      </c>
      <c r="M75" s="65" t="s">
        <v>523</v>
      </c>
    </row>
    <row r="76" spans="1:13" x14ac:dyDescent="0.25">
      <c r="A76" s="66" t="s">
        <v>75</v>
      </c>
      <c r="B76" s="66">
        <v>75</v>
      </c>
      <c r="C76" s="64">
        <f>'Arbeidsark-K'!U77*Vekting!$B$3</f>
        <v>14</v>
      </c>
      <c r="D76" s="64">
        <f>'Arbeidsark-K'!V77*Vekting!$C$3</f>
        <v>6.0739349509759384</v>
      </c>
      <c r="E76" s="64">
        <f>'Arbeidsark-K'!W77*Vekting!$D$3</f>
        <v>0.49908833317893769</v>
      </c>
      <c r="F76" s="64">
        <f>'Arbeidsark-K'!X77*Vekting!$E$3</f>
        <v>8.0256084601401962</v>
      </c>
      <c r="G76" s="64">
        <f>'Arbeidsark-K'!Y77*Vekting!$F$3</f>
        <v>2.7297435407755599</v>
      </c>
      <c r="H76" s="64">
        <f>'Arbeidsark-K'!Z77*Vekting!$G$3</f>
        <v>2.5834942184564111</v>
      </c>
      <c r="I76" s="64">
        <f>'Arbeidsark-K'!AA77*Vekting!$H$3</f>
        <v>2.9460418464123834</v>
      </c>
      <c r="J76" s="64">
        <f>'Arbeidsark-K'!AB77*Vekting!$I$3</f>
        <v>5.6453949963026089</v>
      </c>
      <c r="K76" s="64">
        <f>'Arbeidsark-K'!AC77*Vekting!$J$3</f>
        <v>2.4180828612684664</v>
      </c>
      <c r="L76" s="63">
        <f t="shared" si="1"/>
        <v>44.921389207510501</v>
      </c>
      <c r="M76" s="65" t="s">
        <v>524</v>
      </c>
    </row>
    <row r="77" spans="1:13" x14ac:dyDescent="0.25">
      <c r="A77" s="66" t="s">
        <v>76</v>
      </c>
      <c r="B77" s="66">
        <v>76</v>
      </c>
      <c r="C77" s="64">
        <f>'Arbeidsark-K'!U78*Vekting!$B$3</f>
        <v>14</v>
      </c>
      <c r="D77" s="64">
        <f>'Arbeidsark-K'!V78*Vekting!$C$3</f>
        <v>6.2556925469288025</v>
      </c>
      <c r="E77" s="64">
        <f>'Arbeidsark-K'!W78*Vekting!$D$3</f>
        <v>0.29535915462328716</v>
      </c>
      <c r="F77" s="64">
        <f>'Arbeidsark-K'!X78*Vekting!$E$3</f>
        <v>5.9659625110135579</v>
      </c>
      <c r="G77" s="64">
        <f>'Arbeidsark-K'!Y78*Vekting!$F$3</f>
        <v>1.1741266088868649</v>
      </c>
      <c r="H77" s="64">
        <f>'Arbeidsark-K'!Z78*Vekting!$G$3</f>
        <v>1.5098673704785872</v>
      </c>
      <c r="I77" s="64">
        <f>'Arbeidsark-K'!AA78*Vekting!$H$3</f>
        <v>2.3104880215637893</v>
      </c>
      <c r="J77" s="64">
        <f>'Arbeidsark-K'!AB78*Vekting!$I$3</f>
        <v>10</v>
      </c>
      <c r="K77" s="64">
        <f>'Arbeidsark-K'!AC78*Vekting!$J$3</f>
        <v>2.1848272797956243</v>
      </c>
      <c r="L77" s="63">
        <f t="shared" si="1"/>
        <v>43.696323493290521</v>
      </c>
      <c r="M77" s="65" t="s">
        <v>525</v>
      </c>
    </row>
    <row r="78" spans="1:13" x14ac:dyDescent="0.25">
      <c r="A78" s="66" t="s">
        <v>77</v>
      </c>
      <c r="B78" s="66">
        <v>77</v>
      </c>
      <c r="C78" s="64">
        <f>'Arbeidsark-K'!U79*Vekting!$B$3</f>
        <v>14</v>
      </c>
      <c r="D78" s="64">
        <f>'Arbeidsark-K'!V79*Vekting!$C$3</f>
        <v>8.360041602294185</v>
      </c>
      <c r="E78" s="64">
        <f>'Arbeidsark-K'!W79*Vekting!$D$3</f>
        <v>1.8794409042312878</v>
      </c>
      <c r="F78" s="64">
        <f>'Arbeidsark-K'!X79*Vekting!$E$3</f>
        <v>7.67953793115392</v>
      </c>
      <c r="G78" s="64">
        <f>'Arbeidsark-K'!Y79*Vekting!$F$3</f>
        <v>1.7069017767681425</v>
      </c>
      <c r="H78" s="64">
        <f>'Arbeidsark-K'!Z79*Vekting!$G$3</f>
        <v>2.0188261068782629</v>
      </c>
      <c r="I78" s="64">
        <f>'Arbeidsark-K'!AA79*Vekting!$H$3</f>
        <v>6.476541941681953</v>
      </c>
      <c r="J78" s="64">
        <f>'Arbeidsark-K'!AB79*Vekting!$I$3</f>
        <v>4.4169422133802589</v>
      </c>
      <c r="K78" s="64">
        <f>'Arbeidsark-K'!AC79*Vekting!$J$3</f>
        <v>2.7179828945906923</v>
      </c>
      <c r="L78" s="63">
        <f t="shared" si="1"/>
        <v>49.256215370978701</v>
      </c>
      <c r="M78" s="65" t="s">
        <v>526</v>
      </c>
    </row>
    <row r="79" spans="1:13" x14ac:dyDescent="0.25">
      <c r="A79" s="66" t="s">
        <v>78</v>
      </c>
      <c r="B79" s="66">
        <v>78</v>
      </c>
      <c r="C79" s="64">
        <f>'Arbeidsark-K'!U80*Vekting!$B$3</f>
        <v>14</v>
      </c>
      <c r="D79" s="64">
        <f>'Arbeidsark-K'!V80*Vekting!$C$3</f>
        <v>8.141259310869442</v>
      </c>
      <c r="E79" s="64">
        <f>'Arbeidsark-K'!W80*Vekting!$D$3</f>
        <v>3.8436888937840656</v>
      </c>
      <c r="F79" s="64">
        <f>'Arbeidsark-K'!X80*Vekting!$E$3</f>
        <v>8.5852976982049167</v>
      </c>
      <c r="G79" s="64">
        <f>'Arbeidsark-K'!Y80*Vekting!$F$3</f>
        <v>1.7134466147509024</v>
      </c>
      <c r="H79" s="64">
        <f>'Arbeidsark-K'!Z80*Vekting!$G$3</f>
        <v>2.2397960258294516</v>
      </c>
      <c r="I79" s="64">
        <f>'Arbeidsark-K'!AA80*Vekting!$H$3</f>
        <v>4.2899782973412917</v>
      </c>
      <c r="J79" s="64">
        <f>'Arbeidsark-K'!AB80*Vekting!$I$3</f>
        <v>3.3740564327957374</v>
      </c>
      <c r="K79" s="64">
        <f>'Arbeidsark-K'!AC80*Vekting!$J$3</f>
        <v>2.3958680439853381</v>
      </c>
      <c r="L79" s="63">
        <f t="shared" si="1"/>
        <v>48.583391317561144</v>
      </c>
      <c r="M79" s="65" t="s">
        <v>527</v>
      </c>
    </row>
    <row r="80" spans="1:13" x14ac:dyDescent="0.25">
      <c r="A80" s="66" t="s">
        <v>79</v>
      </c>
      <c r="B80" s="66">
        <v>79</v>
      </c>
      <c r="C80" s="64">
        <f>'Arbeidsark-K'!U81*Vekting!$B$3</f>
        <v>12</v>
      </c>
      <c r="D80" s="64">
        <f>'Arbeidsark-K'!V81*Vekting!$C$3</f>
        <v>9.8420391855913358</v>
      </c>
      <c r="E80" s="64">
        <f>'Arbeidsark-K'!W81*Vekting!$D$3</f>
        <v>2.1181315980533073</v>
      </c>
      <c r="F80" s="64">
        <f>'Arbeidsark-K'!X81*Vekting!$E$3</f>
        <v>11.023315087818929</v>
      </c>
      <c r="G80" s="64">
        <f>'Arbeidsark-K'!Y81*Vekting!$F$3</f>
        <v>2.8779337722259992</v>
      </c>
      <c r="H80" s="64">
        <f>'Arbeidsark-K'!Z81*Vekting!$G$3</f>
        <v>2.8867849312815972</v>
      </c>
      <c r="I80" s="64">
        <f>'Arbeidsark-K'!AA81*Vekting!$H$3</f>
        <v>1.7597120323832329</v>
      </c>
      <c r="J80" s="64">
        <f>'Arbeidsark-K'!AB81*Vekting!$I$3</f>
        <v>3.7702642890299369</v>
      </c>
      <c r="K80" s="64">
        <f>'Arbeidsark-K'!AC81*Vekting!$J$3</f>
        <v>3.2178162834610688</v>
      </c>
      <c r="L80" s="63">
        <f t="shared" si="1"/>
        <v>49.495997179845411</v>
      </c>
      <c r="M80" s="65" t="s">
        <v>528</v>
      </c>
    </row>
    <row r="81" spans="1:13" x14ac:dyDescent="0.25">
      <c r="A81" s="66" t="s">
        <v>80</v>
      </c>
      <c r="B81" s="66">
        <v>80</v>
      </c>
      <c r="C81" s="64">
        <f>'Arbeidsark-K'!U82*Vekting!$B$3</f>
        <v>20</v>
      </c>
      <c r="D81" s="64">
        <f>'Arbeidsark-K'!V82*Vekting!$C$3</f>
        <v>10</v>
      </c>
      <c r="E81" s="64">
        <f>'Arbeidsark-K'!W82*Vekting!$D$3</f>
        <v>2.2260419612428608</v>
      </c>
      <c r="F81" s="64">
        <f>'Arbeidsark-K'!X82*Vekting!$E$3</f>
        <v>10.338953421311999</v>
      </c>
      <c r="G81" s="64">
        <f>'Arbeidsark-K'!Y82*Vekting!$F$3</f>
        <v>3.1060949133482509</v>
      </c>
      <c r="H81" s="64">
        <f>'Arbeidsark-K'!Z82*Vekting!$G$3</f>
        <v>4.1821767006392241</v>
      </c>
      <c r="I81" s="64">
        <f>'Arbeidsark-K'!AA82*Vekting!$H$3</f>
        <v>2.4943686183201308</v>
      </c>
      <c r="J81" s="64">
        <f>'Arbeidsark-K'!AB82*Vekting!$I$3</f>
        <v>4.3235950444643372</v>
      </c>
      <c r="K81" s="64">
        <f>'Arbeidsark-K'!AC82*Vekting!$J$3</f>
        <v>6.5833611018549369</v>
      </c>
      <c r="L81" s="63">
        <f t="shared" si="1"/>
        <v>63.254591761181743</v>
      </c>
      <c r="M81" s="65" t="s">
        <v>529</v>
      </c>
    </row>
    <row r="82" spans="1:13" x14ac:dyDescent="0.25">
      <c r="A82" s="66" t="s">
        <v>81</v>
      </c>
      <c r="B82" s="66">
        <v>81</v>
      </c>
      <c r="C82" s="64">
        <f>'Arbeidsark-K'!U83*Vekting!$B$3</f>
        <v>20</v>
      </c>
      <c r="D82" s="64">
        <f>'Arbeidsark-K'!V83*Vekting!$C$3</f>
        <v>9.642779006324492</v>
      </c>
      <c r="E82" s="64">
        <f>'Arbeidsark-K'!W83*Vekting!$D$3</f>
        <v>1.2573260765196537</v>
      </c>
      <c r="F82" s="64">
        <f>'Arbeidsark-K'!X83*Vekting!$E$3</f>
        <v>8.6210381462705907</v>
      </c>
      <c r="G82" s="64">
        <f>'Arbeidsark-K'!Y83*Vekting!$F$3</f>
        <v>1.9993476120004665</v>
      </c>
      <c r="H82" s="64">
        <f>'Arbeidsark-K'!Z83*Vekting!$G$3</f>
        <v>2.4201252536039406</v>
      </c>
      <c r="I82" s="64">
        <f>'Arbeidsark-K'!AA83*Vekting!$H$3</f>
        <v>4.6203840091434705</v>
      </c>
      <c r="J82" s="64">
        <f>'Arbeidsark-K'!AB83*Vekting!$I$3</f>
        <v>3.674274213862633</v>
      </c>
      <c r="K82" s="64">
        <f>'Arbeidsark-K'!AC83*Vekting!$J$3</f>
        <v>4.8172831278462738</v>
      </c>
      <c r="L82" s="63">
        <f t="shared" si="1"/>
        <v>57.052557445571523</v>
      </c>
      <c r="M82" s="65" t="s">
        <v>530</v>
      </c>
    </row>
    <row r="83" spans="1:13" x14ac:dyDescent="0.25">
      <c r="A83" s="66" t="s">
        <v>82</v>
      </c>
      <c r="B83" s="66">
        <v>82</v>
      </c>
      <c r="C83" s="64">
        <f>'Arbeidsark-K'!U84*Vekting!$B$3</f>
        <v>14</v>
      </c>
      <c r="D83" s="64">
        <f>'Arbeidsark-K'!V84*Vekting!$C$3</f>
        <v>8.091444266052731</v>
      </c>
      <c r="E83" s="64">
        <f>'Arbeidsark-K'!W84*Vekting!$D$3</f>
        <v>0.49217745613563296</v>
      </c>
      <c r="F83" s="64">
        <f>'Arbeidsark-K'!X84*Vekting!$E$3</f>
        <v>1.5751254238666235</v>
      </c>
      <c r="G83" s="64">
        <f>'Arbeidsark-K'!Y84*Vekting!$F$3</f>
        <v>1.1075769651811258</v>
      </c>
      <c r="H83" s="64">
        <f>'Arbeidsark-K'!Z84*Vekting!$G$3</f>
        <v>2.0760372193461385</v>
      </c>
      <c r="I83" s="64">
        <f>'Arbeidsark-K'!AA84*Vekting!$H$3</f>
        <v>0</v>
      </c>
      <c r="J83" s="64">
        <f>'Arbeidsark-K'!AB84*Vekting!$I$3</f>
        <v>0</v>
      </c>
      <c r="K83" s="64">
        <f>'Arbeidsark-K'!AC84*Vekting!$J$3</f>
        <v>0</v>
      </c>
      <c r="L83" s="63">
        <f t="shared" si="1"/>
        <v>27.34236133058225</v>
      </c>
      <c r="M83" s="65" t="s">
        <v>531</v>
      </c>
    </row>
    <row r="84" spans="1:13" x14ac:dyDescent="0.25">
      <c r="A84" s="66" t="s">
        <v>83</v>
      </c>
      <c r="B84" s="66">
        <v>83</v>
      </c>
      <c r="C84" s="64">
        <f>'Arbeidsark-K'!U85*Vekting!$B$3</f>
        <v>14</v>
      </c>
      <c r="D84" s="64">
        <f>'Arbeidsark-K'!V85*Vekting!$C$3</f>
        <v>7.1079337190633431</v>
      </c>
      <c r="E84" s="64">
        <f>'Arbeidsark-K'!W85*Vekting!$D$3</f>
        <v>0.43558672837557144</v>
      </c>
      <c r="F84" s="64">
        <f>'Arbeidsark-K'!X85*Vekting!$E$3</f>
        <v>5.3772304015805279</v>
      </c>
      <c r="G84" s="64">
        <f>'Arbeidsark-K'!Y85*Vekting!$F$3</f>
        <v>1.5792854994958909</v>
      </c>
      <c r="H84" s="64">
        <f>'Arbeidsark-K'!Z85*Vekting!$G$3</f>
        <v>1.6131833710992236</v>
      </c>
      <c r="I84" s="64">
        <f>'Arbeidsark-K'!AA85*Vekting!$H$3</f>
        <v>5.5083091407201872</v>
      </c>
      <c r="J84" s="64">
        <f>'Arbeidsark-K'!AB85*Vekting!$I$3</f>
        <v>3.8419487099543148</v>
      </c>
      <c r="K84" s="64">
        <f>'Arbeidsark-K'!AC85*Vekting!$J$3</f>
        <v>0</v>
      </c>
      <c r="L84" s="63">
        <f t="shared" si="1"/>
        <v>39.463477570289058</v>
      </c>
      <c r="M84" s="65" t="s">
        <v>532</v>
      </c>
    </row>
    <row r="85" spans="1:13" x14ac:dyDescent="0.25">
      <c r="A85" s="66" t="s">
        <v>84</v>
      </c>
      <c r="B85" s="66">
        <v>84</v>
      </c>
      <c r="C85" s="64">
        <f>'Arbeidsark-K'!U86*Vekting!$B$3</f>
        <v>2</v>
      </c>
      <c r="D85" s="64">
        <f>'Arbeidsark-K'!V86*Vekting!$C$3</f>
        <v>7.0507137351522564</v>
      </c>
      <c r="E85" s="64">
        <f>'Arbeidsark-K'!W86*Vekting!$D$3</f>
        <v>0.11053206466407062</v>
      </c>
      <c r="F85" s="64">
        <f>'Arbeidsark-K'!X86*Vekting!$E$3</f>
        <v>0.16610216505832229</v>
      </c>
      <c r="G85" s="64">
        <f>'Arbeidsark-K'!Y86*Vekting!$F$3</f>
        <v>0.30166509497492133</v>
      </c>
      <c r="H85" s="64">
        <f>'Arbeidsark-K'!Z86*Vekting!$G$3</f>
        <v>0.26545865309056704</v>
      </c>
      <c r="I85" s="64">
        <f>'Arbeidsark-K'!AA86*Vekting!$H$3</f>
        <v>0.98679984184303471</v>
      </c>
      <c r="J85" s="64">
        <f>'Arbeidsark-K'!AB86*Vekting!$I$3</f>
        <v>9.6831045759336902</v>
      </c>
      <c r="K85" s="64">
        <f>'Arbeidsark-K'!AC86*Vekting!$J$3</f>
        <v>0</v>
      </c>
      <c r="L85" s="63">
        <f t="shared" si="1"/>
        <v>20.564376130716866</v>
      </c>
      <c r="M85" s="65" t="s">
        <v>533</v>
      </c>
    </row>
    <row r="86" spans="1:13" x14ac:dyDescent="0.25">
      <c r="A86" s="66" t="s">
        <v>85</v>
      </c>
      <c r="B86" s="66">
        <v>85</v>
      </c>
      <c r="C86" s="64">
        <f>'Arbeidsark-K'!U87*Vekting!$B$3</f>
        <v>12</v>
      </c>
      <c r="D86" s="64">
        <f>'Arbeidsark-K'!V87*Vekting!$C$3</f>
        <v>6.5599682260795236</v>
      </c>
      <c r="E86" s="64">
        <f>'Arbeidsark-K'!W87*Vekting!$D$3</f>
        <v>0.12647472761270678</v>
      </c>
      <c r="F86" s="64">
        <f>'Arbeidsark-K'!X87*Vekting!$E$3</f>
        <v>2.040156721939542</v>
      </c>
      <c r="G86" s="64">
        <f>'Arbeidsark-K'!Y87*Vekting!$F$3</f>
        <v>0</v>
      </c>
      <c r="H86" s="64">
        <f>'Arbeidsark-K'!Z87*Vekting!$G$3</f>
        <v>0.29205375236017495</v>
      </c>
      <c r="I86" s="64">
        <f>'Arbeidsark-K'!AA87*Vekting!$H$3</f>
        <v>4.7217998051480503</v>
      </c>
      <c r="J86" s="64">
        <f>'Arbeidsark-K'!AB87*Vekting!$I$3</f>
        <v>5.9929560581984216</v>
      </c>
      <c r="K86" s="64">
        <f>'Arbeidsark-K'!AC87*Vekting!$J$3</f>
        <v>0</v>
      </c>
      <c r="L86" s="63">
        <f t="shared" si="1"/>
        <v>31.733409291338418</v>
      </c>
      <c r="M86" s="65" t="s">
        <v>534</v>
      </c>
    </row>
    <row r="87" spans="1:13" x14ac:dyDescent="0.25">
      <c r="A87" s="66" t="s">
        <v>86</v>
      </c>
      <c r="B87" s="66">
        <v>86</v>
      </c>
      <c r="C87" s="64">
        <f>'Arbeidsark-K'!U88*Vekting!$B$3</f>
        <v>2</v>
      </c>
      <c r="D87" s="64">
        <f>'Arbeidsark-K'!V88*Vekting!$C$3</f>
        <v>6.0066173228452477</v>
      </c>
      <c r="E87" s="64">
        <f>'Arbeidsark-K'!W88*Vekting!$D$3</f>
        <v>0.4407592380694908</v>
      </c>
      <c r="F87" s="64">
        <f>'Arbeidsark-K'!X88*Vekting!$E$3</f>
        <v>6.0734085094263186</v>
      </c>
      <c r="G87" s="64">
        <f>'Arbeidsark-K'!Y88*Vekting!$F$3</f>
        <v>1.7793296456959462</v>
      </c>
      <c r="H87" s="64">
        <f>'Arbeidsark-K'!Z88*Vekting!$G$3</f>
        <v>1.6908560317349079</v>
      </c>
      <c r="I87" s="64">
        <f>'Arbeidsark-K'!AA88*Vekting!$H$3</f>
        <v>2.650746410412387</v>
      </c>
      <c r="J87" s="64">
        <f>'Arbeidsark-K'!AB88*Vekting!$I$3</f>
        <v>9.6648175875407834</v>
      </c>
      <c r="K87" s="64">
        <f>'Arbeidsark-K'!AC88*Vekting!$J$3</f>
        <v>2.9179162501388434</v>
      </c>
      <c r="L87" s="63">
        <f t="shared" si="1"/>
        <v>33.224450995863926</v>
      </c>
      <c r="M87" s="65" t="s">
        <v>535</v>
      </c>
    </row>
    <row r="88" spans="1:13" x14ac:dyDescent="0.25">
      <c r="A88" s="66" t="s">
        <v>87</v>
      </c>
      <c r="B88" s="66">
        <v>87</v>
      </c>
      <c r="C88" s="64">
        <f>'Arbeidsark-K'!U89*Vekting!$B$3</f>
        <v>2</v>
      </c>
      <c r="D88" s="64">
        <f>'Arbeidsark-K'!V89*Vekting!$C$3</f>
        <v>5.1893813173386656</v>
      </c>
      <c r="E88" s="64">
        <f>'Arbeidsark-K'!W89*Vekting!$D$3</f>
        <v>0.24729008459035243</v>
      </c>
      <c r="F88" s="64">
        <f>'Arbeidsark-K'!X89*Vekting!$E$3</f>
        <v>0.88074248519948251</v>
      </c>
      <c r="G88" s="64">
        <f>'Arbeidsark-K'!Y89*Vekting!$F$3</f>
        <v>0.55700214149217542</v>
      </c>
      <c r="H88" s="64">
        <f>'Arbeidsark-K'!Z89*Vekting!$G$3</f>
        <v>1.2625356721708216</v>
      </c>
      <c r="I88" s="64">
        <f>'Arbeidsark-K'!AA89*Vekting!$H$3</f>
        <v>1.5521511496360674</v>
      </c>
      <c r="J88" s="64">
        <f>'Arbeidsark-K'!AB89*Vekting!$I$3</f>
        <v>10</v>
      </c>
      <c r="K88" s="64">
        <f>'Arbeidsark-K'!AC89*Vekting!$J$3</f>
        <v>2.3736532267022099</v>
      </c>
      <c r="L88" s="63">
        <f t="shared" si="1"/>
        <v>24.062756077129777</v>
      </c>
      <c r="M88" s="65" t="s">
        <v>536</v>
      </c>
    </row>
    <row r="89" spans="1:13" x14ac:dyDescent="0.25">
      <c r="A89" s="66" t="s">
        <v>88</v>
      </c>
      <c r="B89" s="66">
        <v>88</v>
      </c>
      <c r="C89" s="64">
        <f>'Arbeidsark-K'!U90*Vekting!$B$3</f>
        <v>2</v>
      </c>
      <c r="D89" s="64">
        <f>'Arbeidsark-K'!V90*Vekting!$C$3</f>
        <v>5.1853422596508238</v>
      </c>
      <c r="E89" s="64">
        <f>'Arbeidsark-K'!W90*Vekting!$D$3</f>
        <v>0.1585239665154049</v>
      </c>
      <c r="F89" s="64">
        <f>'Arbeidsark-K'!X90*Vekting!$E$3</f>
        <v>6.9291642472471242</v>
      </c>
      <c r="G89" s="64">
        <f>'Arbeidsark-K'!Y90*Vekting!$F$3</f>
        <v>3.8200710183700597</v>
      </c>
      <c r="H89" s="64">
        <f>'Arbeidsark-K'!Z90*Vekting!$G$3</f>
        <v>2.2317402102757082</v>
      </c>
      <c r="I89" s="64">
        <f>'Arbeidsark-K'!AA90*Vekting!$H$3</f>
        <v>3.4026495749853072</v>
      </c>
      <c r="J89" s="64">
        <f>'Arbeidsark-K'!AB90*Vekting!$I$3</f>
        <v>10</v>
      </c>
      <c r="K89" s="64">
        <f>'Arbeidsark-K'!AC90*Vekting!$J$3</f>
        <v>3.2844607353104522</v>
      </c>
      <c r="L89" s="63">
        <f t="shared" si="1"/>
        <v>37.01195201235489</v>
      </c>
      <c r="M89" s="65" t="s">
        <v>537</v>
      </c>
    </row>
    <row r="90" spans="1:13" x14ac:dyDescent="0.25">
      <c r="A90" s="66" t="s">
        <v>89</v>
      </c>
      <c r="B90" s="66">
        <v>89</v>
      </c>
      <c r="C90" s="64">
        <f>'Arbeidsark-K'!U91*Vekting!$B$3</f>
        <v>2</v>
      </c>
      <c r="D90" s="64">
        <f>'Arbeidsark-K'!V91*Vekting!$C$3</f>
        <v>4.2644371068229789</v>
      </c>
      <c r="E90" s="64">
        <f>'Arbeidsark-K'!W91*Vekting!$D$3</f>
        <v>0</v>
      </c>
      <c r="F90" s="64">
        <f>'Arbeidsark-K'!X91*Vekting!$E$3</f>
        <v>4.9684916920293523</v>
      </c>
      <c r="G90" s="64">
        <f>'Arbeidsark-K'!Y91*Vekting!$F$3</f>
        <v>2.7714592698611229</v>
      </c>
      <c r="H90" s="64">
        <f>'Arbeidsark-K'!Z91*Vekting!$G$3</f>
        <v>1.6543782928852986</v>
      </c>
      <c r="I90" s="64">
        <f>'Arbeidsark-K'!AA91*Vekting!$H$3</f>
        <v>3.9762713328063279</v>
      </c>
      <c r="J90" s="64">
        <f>'Arbeidsark-K'!AB91*Vekting!$I$3</f>
        <v>8.6441171371209169</v>
      </c>
      <c r="K90" s="64">
        <f>'Arbeidsark-K'!AC91*Vekting!$J$3</f>
        <v>0</v>
      </c>
      <c r="L90" s="63">
        <f t="shared" si="1"/>
        <v>28.279154831525993</v>
      </c>
      <c r="M90" s="65" t="s">
        <v>538</v>
      </c>
    </row>
    <row r="91" spans="1:13" x14ac:dyDescent="0.25">
      <c r="A91" s="66" t="s">
        <v>90</v>
      </c>
      <c r="B91" s="66">
        <v>90</v>
      </c>
      <c r="C91" s="64">
        <f>'Arbeidsark-K'!U92*Vekting!$B$3</f>
        <v>18</v>
      </c>
      <c r="D91" s="64">
        <f>'Arbeidsark-K'!V92*Vekting!$C$3</f>
        <v>10</v>
      </c>
      <c r="E91" s="64">
        <f>'Arbeidsark-K'!W92*Vekting!$D$3</f>
        <v>10</v>
      </c>
      <c r="F91" s="64">
        <f>'Arbeidsark-K'!X92*Vekting!$E$3</f>
        <v>18.829025754431662</v>
      </c>
      <c r="G91" s="64">
        <f>'Arbeidsark-K'!Y92*Vekting!$F$3</f>
        <v>5</v>
      </c>
      <c r="H91" s="64">
        <f>'Arbeidsark-K'!Z92*Vekting!$G$3</f>
        <v>3.8325127996006119</v>
      </c>
      <c r="I91" s="64">
        <f>'Arbeidsark-K'!AA92*Vekting!$H$3</f>
        <v>6.2263135225162571</v>
      </c>
      <c r="J91" s="64">
        <f>'Arbeidsark-K'!AB92*Vekting!$I$3</f>
        <v>0.29298394557373658</v>
      </c>
      <c r="K91" s="64">
        <f>'Arbeidsark-K'!AC92*Vekting!$J$3</f>
        <v>8.5160502054870602</v>
      </c>
      <c r="L91" s="63">
        <f t="shared" si="1"/>
        <v>80.69688622760934</v>
      </c>
      <c r="M91" s="65" t="s">
        <v>539</v>
      </c>
    </row>
    <row r="92" spans="1:13" x14ac:dyDescent="0.25">
      <c r="A92" s="66" t="s">
        <v>91</v>
      </c>
      <c r="B92" s="66">
        <v>91</v>
      </c>
      <c r="C92" s="64">
        <f>'Arbeidsark-K'!U93*Vekting!$B$3</f>
        <v>12</v>
      </c>
      <c r="D92" s="64">
        <f>'Arbeidsark-K'!V93*Vekting!$C$3</f>
        <v>9.8161218987610184</v>
      </c>
      <c r="E92" s="64">
        <f>'Arbeidsark-K'!W93*Vekting!$D$3</f>
        <v>2.4647984115841712</v>
      </c>
      <c r="F92" s="64">
        <f>'Arbeidsark-K'!X93*Vekting!$E$3</f>
        <v>17.713532127256197</v>
      </c>
      <c r="G92" s="64">
        <f>'Arbeidsark-K'!Y93*Vekting!$F$3</f>
        <v>3.9587850827923683</v>
      </c>
      <c r="H92" s="64">
        <f>'Arbeidsark-K'!Z93*Vekting!$G$3</f>
        <v>3.5015214121197946</v>
      </c>
      <c r="I92" s="64">
        <f>'Arbeidsark-K'!AA93*Vekting!$H$3</f>
        <v>7.1656410151993555</v>
      </c>
      <c r="J92" s="64">
        <f>'Arbeidsark-K'!AB93*Vekting!$I$3</f>
        <v>3.1739252719754165</v>
      </c>
      <c r="K92" s="64">
        <f>'Arbeidsark-K'!AC93*Vekting!$J$3</f>
        <v>10</v>
      </c>
      <c r="L92" s="63">
        <f t="shared" si="1"/>
        <v>69.794325219688318</v>
      </c>
      <c r="M92" s="65" t="s">
        <v>540</v>
      </c>
    </row>
    <row r="93" spans="1:13" x14ac:dyDescent="0.25">
      <c r="A93" s="66" t="s">
        <v>92</v>
      </c>
      <c r="B93" s="66">
        <v>92</v>
      </c>
      <c r="C93" s="64">
        <f>'Arbeidsark-K'!U94*Vekting!$B$3</f>
        <v>12</v>
      </c>
      <c r="D93" s="64">
        <f>'Arbeidsark-K'!V94*Vekting!$C$3</f>
        <v>10</v>
      </c>
      <c r="E93" s="64">
        <f>'Arbeidsark-K'!W94*Vekting!$D$3</f>
        <v>1.3466210855551013</v>
      </c>
      <c r="F93" s="64">
        <f>'Arbeidsark-K'!X94*Vekting!$E$3</f>
        <v>9.7028262286314586</v>
      </c>
      <c r="G93" s="64">
        <f>'Arbeidsark-K'!Y94*Vekting!$F$3</f>
        <v>3.735154376757357</v>
      </c>
      <c r="H93" s="64">
        <f>'Arbeidsark-K'!Z94*Vekting!$G$3</f>
        <v>2.7878240156304086</v>
      </c>
      <c r="I93" s="64">
        <f>'Arbeidsark-K'!AA94*Vekting!$H$3</f>
        <v>3.8202798524453301</v>
      </c>
      <c r="J93" s="64">
        <f>'Arbeidsark-K'!AB94*Vekting!$I$3</f>
        <v>1.8072201764697711</v>
      </c>
      <c r="K93" s="64">
        <f>'Arbeidsark-K'!AC94*Vekting!$J$3</f>
        <v>4.4285238253915358</v>
      </c>
      <c r="L93" s="63">
        <f t="shared" si="1"/>
        <v>49.628449560880959</v>
      </c>
      <c r="M93" s="65" t="s">
        <v>541</v>
      </c>
    </row>
    <row r="94" spans="1:13" x14ac:dyDescent="0.25">
      <c r="A94" s="66" t="s">
        <v>93</v>
      </c>
      <c r="B94" s="66">
        <v>93</v>
      </c>
      <c r="C94" s="64">
        <f>'Arbeidsark-K'!U95*Vekting!$B$3</f>
        <v>12</v>
      </c>
      <c r="D94" s="64">
        <f>'Arbeidsark-K'!V95*Vekting!$C$3</f>
        <v>10</v>
      </c>
      <c r="E94" s="64">
        <f>'Arbeidsark-K'!W95*Vekting!$D$3</f>
        <v>2.5265190305034539</v>
      </c>
      <c r="F94" s="64">
        <f>'Arbeidsark-K'!X95*Vekting!$E$3</f>
        <v>20</v>
      </c>
      <c r="G94" s="64">
        <f>'Arbeidsark-K'!Y95*Vekting!$F$3</f>
        <v>2.7903744020436845</v>
      </c>
      <c r="H94" s="64">
        <f>'Arbeidsark-K'!Z95*Vekting!$G$3</f>
        <v>4.1759775940538315</v>
      </c>
      <c r="I94" s="64">
        <f>'Arbeidsark-K'!AA95*Vekting!$H$3</f>
        <v>10</v>
      </c>
      <c r="J94" s="64">
        <f>'Arbeidsark-K'!AB95*Vekting!$I$3</f>
        <v>5.2268685061916136</v>
      </c>
      <c r="K94" s="64">
        <f>'Arbeidsark-K'!AC95*Vekting!$J$3</f>
        <v>10</v>
      </c>
      <c r="L94" s="63">
        <f t="shared" si="1"/>
        <v>76.719739532792573</v>
      </c>
      <c r="M94" s="65" t="s">
        <v>542</v>
      </c>
    </row>
    <row r="95" spans="1:13" x14ac:dyDescent="0.25">
      <c r="A95" s="66" t="s">
        <v>94</v>
      </c>
      <c r="B95" s="66">
        <v>94</v>
      </c>
      <c r="C95" s="64">
        <f>'Arbeidsark-K'!U96*Vekting!$B$3</f>
        <v>6</v>
      </c>
      <c r="D95" s="64">
        <f>'Arbeidsark-K'!V96*Vekting!$C$3</f>
        <v>8.3721587753577094</v>
      </c>
      <c r="E95" s="64">
        <f>'Arbeidsark-K'!W96*Vekting!$D$3</f>
        <v>2.1552362408688453E-2</v>
      </c>
      <c r="F95" s="64">
        <f>'Arbeidsark-K'!X96*Vekting!$E$3</f>
        <v>12.712149408061389</v>
      </c>
      <c r="G95" s="64">
        <f>'Arbeidsark-K'!Y96*Vekting!$F$3</f>
        <v>1.441603630276896</v>
      </c>
      <c r="H95" s="64">
        <f>'Arbeidsark-K'!Z96*Vekting!$G$3</f>
        <v>0.75320905601247201</v>
      </c>
      <c r="I95" s="64">
        <f>'Arbeidsark-K'!AA96*Vekting!$H$3</f>
        <v>9.3375024459229561</v>
      </c>
      <c r="J95" s="64">
        <f>'Arbeidsark-K'!AB96*Vekting!$I$3</f>
        <v>6.837008253955112</v>
      </c>
      <c r="K95" s="64">
        <f>'Arbeidsark-K'!AC96*Vekting!$J$3</f>
        <v>2.6069088081750524</v>
      </c>
      <c r="L95" s="63">
        <f t="shared" si="1"/>
        <v>48.082092740170275</v>
      </c>
      <c r="M95" s="65" t="s">
        <v>543</v>
      </c>
    </row>
    <row r="96" spans="1:13" x14ac:dyDescent="0.25">
      <c r="A96" s="66" t="s">
        <v>95</v>
      </c>
      <c r="B96" s="66">
        <v>95</v>
      </c>
      <c r="C96" s="64">
        <f>'Arbeidsark-K'!U97*Vekting!$B$3</f>
        <v>6</v>
      </c>
      <c r="D96" s="64">
        <f>'Arbeidsark-K'!V97*Vekting!$C$3</f>
        <v>7.2735350842648421</v>
      </c>
      <c r="E96" s="64">
        <f>'Arbeidsark-K'!W97*Vekting!$D$3</f>
        <v>0.216190179583829</v>
      </c>
      <c r="F96" s="64">
        <f>'Arbeidsark-K'!X97*Vekting!$E$3</f>
        <v>2.2297537749427732</v>
      </c>
      <c r="G96" s="64">
        <f>'Arbeidsark-K'!Y97*Vekting!$F$3</f>
        <v>0.83203018894905301</v>
      </c>
      <c r="H96" s="64">
        <f>'Arbeidsark-K'!Z97*Vekting!$G$3</f>
        <v>1.1360969330201021</v>
      </c>
      <c r="I96" s="64">
        <f>'Arbeidsark-K'!AA97*Vekting!$H$3</f>
        <v>0.43924706827419585</v>
      </c>
      <c r="J96" s="64">
        <f>'Arbeidsark-K'!AB97*Vekting!$I$3</f>
        <v>9.4808989806596724</v>
      </c>
      <c r="K96" s="64">
        <f>'Arbeidsark-K'!AC97*Vekting!$J$3</f>
        <v>2.5624791736087973</v>
      </c>
      <c r="L96" s="63">
        <f t="shared" si="1"/>
        <v>30.170231383303264</v>
      </c>
      <c r="M96" s="65" t="s">
        <v>487</v>
      </c>
    </row>
    <row r="97" spans="1:13" x14ac:dyDescent="0.25">
      <c r="A97" s="66" t="s">
        <v>96</v>
      </c>
      <c r="B97" s="66">
        <v>96</v>
      </c>
      <c r="C97" s="64">
        <f>'Arbeidsark-K'!U98*Vekting!$B$3</f>
        <v>6</v>
      </c>
      <c r="D97" s="64">
        <f>'Arbeidsark-K'!V98*Vekting!$C$3</f>
        <v>6.5559291683916818</v>
      </c>
      <c r="E97" s="64">
        <f>'Arbeidsark-K'!W98*Vekting!$D$3</f>
        <v>0.55270038980155367</v>
      </c>
      <c r="F97" s="64">
        <f>'Arbeidsark-K'!X98*Vekting!$E$3</f>
        <v>8.1361624114112949</v>
      </c>
      <c r="G97" s="64">
        <f>'Arbeidsark-K'!Y98*Vekting!$F$3</f>
        <v>2.1563425082687484</v>
      </c>
      <c r="H97" s="64">
        <f>'Arbeidsark-K'!Z98*Vekting!$G$3</f>
        <v>1.7145458135385194</v>
      </c>
      <c r="I97" s="64">
        <f>'Arbeidsark-K'!AA98*Vekting!$H$3</f>
        <v>2.8980198336564529</v>
      </c>
      <c r="J97" s="64">
        <f>'Arbeidsark-K'!AB98*Vekting!$I$3</f>
        <v>10</v>
      </c>
      <c r="K97" s="64">
        <f>'Arbeidsark-K'!AC98*Vekting!$J$3</f>
        <v>4.3840941908252802</v>
      </c>
      <c r="L97" s="63">
        <f t="shared" si="1"/>
        <v>42.397794315893535</v>
      </c>
      <c r="M97" s="65" t="s">
        <v>544</v>
      </c>
    </row>
    <row r="98" spans="1:13" x14ac:dyDescent="0.25">
      <c r="A98" s="66" t="s">
        <v>97</v>
      </c>
      <c r="B98" s="66">
        <v>97</v>
      </c>
      <c r="C98" s="64">
        <f>'Arbeidsark-K'!U99*Vekting!$B$3</f>
        <v>6</v>
      </c>
      <c r="D98" s="64">
        <f>'Arbeidsark-K'!V99*Vekting!$C$3</f>
        <v>5.4761544131754079</v>
      </c>
      <c r="E98" s="64">
        <f>'Arbeidsark-K'!W99*Vekting!$D$3</f>
        <v>0.14870797093786622</v>
      </c>
      <c r="F98" s="64">
        <f>'Arbeidsark-K'!X99*Vekting!$E$3</f>
        <v>20</v>
      </c>
      <c r="G98" s="64">
        <f>'Arbeidsark-K'!Y99*Vekting!$F$3</f>
        <v>4.9442443669420397</v>
      </c>
      <c r="H98" s="64">
        <f>'Arbeidsark-K'!Z99*Vekting!$G$3</f>
        <v>4.8507517338083348</v>
      </c>
      <c r="I98" s="64">
        <f>'Arbeidsark-K'!AA99*Vekting!$H$3</f>
        <v>7.0001753633280135</v>
      </c>
      <c r="J98" s="64">
        <f>'Arbeidsark-K'!AB99*Vekting!$I$3</f>
        <v>6.5368571602473571</v>
      </c>
      <c r="K98" s="64">
        <f>'Arbeidsark-K'!AC99*Vekting!$J$3</f>
        <v>4.0397645229367987</v>
      </c>
      <c r="L98" s="63">
        <f t="shared" si="1"/>
        <v>58.996655531375822</v>
      </c>
      <c r="M98" s="65" t="s">
        <v>545</v>
      </c>
    </row>
    <row r="99" spans="1:13" x14ac:dyDescent="0.25">
      <c r="A99" s="66" t="s">
        <v>98</v>
      </c>
      <c r="B99" s="66">
        <v>98</v>
      </c>
      <c r="C99" s="64">
        <f>'Arbeidsark-K'!U100*Vekting!$B$3</f>
        <v>6</v>
      </c>
      <c r="D99" s="64">
        <f>'Arbeidsark-K'!V100*Vekting!$C$3</f>
        <v>5.780430092326128</v>
      </c>
      <c r="E99" s="64">
        <f>'Arbeidsark-K'!W100*Vekting!$D$3</f>
        <v>0.20652431254720655</v>
      </c>
      <c r="F99" s="64">
        <f>'Arbeidsark-K'!X100*Vekting!$E$3</f>
        <v>6.1268451570911742</v>
      </c>
      <c r="G99" s="64">
        <f>'Arbeidsark-K'!Y100*Vekting!$F$3</f>
        <v>0.32695962941085172</v>
      </c>
      <c r="H99" s="64">
        <f>'Arbeidsark-K'!Z100*Vekting!$G$3</f>
        <v>1.8455461877699801</v>
      </c>
      <c r="I99" s="64">
        <f>'Arbeidsark-K'!AA100*Vekting!$H$3</f>
        <v>4.9192283056901012</v>
      </c>
      <c r="J99" s="64">
        <f>'Arbeidsark-K'!AB100*Vekting!$I$3</f>
        <v>10</v>
      </c>
      <c r="K99" s="64">
        <f>'Arbeidsark-K'!AC100*Vekting!$J$3</f>
        <v>5.7058758191713874</v>
      </c>
      <c r="L99" s="63">
        <f t="shared" si="1"/>
        <v>40.911409504006834</v>
      </c>
      <c r="M99" s="65" t="s">
        <v>546</v>
      </c>
    </row>
    <row r="100" spans="1:13" x14ac:dyDescent="0.25">
      <c r="A100" s="66" t="s">
        <v>99</v>
      </c>
      <c r="B100" s="66">
        <v>99</v>
      </c>
      <c r="C100" s="64">
        <f>'Arbeidsark-K'!U101*Vekting!$B$3</f>
        <v>6</v>
      </c>
      <c r="D100" s="64">
        <f>'Arbeidsark-K'!V101*Vekting!$C$3</f>
        <v>5.1476443878976381</v>
      </c>
      <c r="E100" s="64">
        <f>'Arbeidsark-K'!W101*Vekting!$D$3</f>
        <v>8.9421943213351091E-2</v>
      </c>
      <c r="F100" s="64">
        <f>'Arbeidsark-K'!X101*Vekting!$E$3</f>
        <v>5.8528847446155172</v>
      </c>
      <c r="G100" s="64">
        <f>'Arbeidsark-K'!Y101*Vekting!$F$3</f>
        <v>3.9671300684260089</v>
      </c>
      <c r="H100" s="64">
        <f>'Arbeidsark-K'!Z101*Vekting!$G$3</f>
        <v>1.7415943803621545</v>
      </c>
      <c r="I100" s="64">
        <f>'Arbeidsark-K'!AA101*Vekting!$H$3</f>
        <v>3.2558108174057794</v>
      </c>
      <c r="J100" s="64">
        <f>'Arbeidsark-K'!AB101*Vekting!$I$3</f>
        <v>10</v>
      </c>
      <c r="K100" s="64">
        <f>'Arbeidsark-K'!AC101*Vekting!$J$3</f>
        <v>6.683327779629014</v>
      </c>
      <c r="L100" s="63">
        <f t="shared" si="1"/>
        <v>42.737814121549462</v>
      </c>
      <c r="M100" s="65" t="s">
        <v>547</v>
      </c>
    </row>
    <row r="101" spans="1:13" x14ac:dyDescent="0.25">
      <c r="A101" s="66" t="s">
        <v>100</v>
      </c>
      <c r="B101" s="66">
        <v>100</v>
      </c>
      <c r="C101" s="64">
        <f>'Arbeidsark-K'!U102*Vekting!$B$3</f>
        <v>18</v>
      </c>
      <c r="D101" s="64">
        <f>'Arbeidsark-K'!V102*Vekting!$C$3</f>
        <v>8.8783873389005006</v>
      </c>
      <c r="E101" s="64">
        <f>'Arbeidsark-K'!W102*Vekting!$D$3</f>
        <v>0.2170568700077439</v>
      </c>
      <c r="F101" s="64">
        <f>'Arbeidsark-K'!X102*Vekting!$E$3</f>
        <v>4.8455976346471008</v>
      </c>
      <c r="G101" s="64">
        <f>'Arbeidsark-K'!Y102*Vekting!$F$3</f>
        <v>0.49445909274363231</v>
      </c>
      <c r="H101" s="64">
        <f>'Arbeidsark-K'!Z102*Vekting!$G$3</f>
        <v>1.7564849573111248</v>
      </c>
      <c r="I101" s="64">
        <f>'Arbeidsark-K'!AA102*Vekting!$H$3</f>
        <v>3.8979675209774207</v>
      </c>
      <c r="J101" s="64">
        <f>'Arbeidsark-K'!AB102*Vekting!$I$3</f>
        <v>10</v>
      </c>
      <c r="K101" s="64">
        <f>'Arbeidsark-K'!AC102*Vekting!$J$3</f>
        <v>9.2713539931134061</v>
      </c>
      <c r="L101" s="63">
        <f t="shared" si="1"/>
        <v>57.361307407700934</v>
      </c>
      <c r="M101" s="65" t="s">
        <v>548</v>
      </c>
    </row>
    <row r="102" spans="1:13" x14ac:dyDescent="0.25">
      <c r="A102" s="66" t="s">
        <v>101</v>
      </c>
      <c r="B102" s="66">
        <v>101</v>
      </c>
      <c r="C102" s="64">
        <f>'Arbeidsark-K'!U103*Vekting!$B$3</f>
        <v>12</v>
      </c>
      <c r="D102" s="64">
        <f>'Arbeidsark-K'!V103*Vekting!$C$3</f>
        <v>8.9154120343723804</v>
      </c>
      <c r="E102" s="64">
        <f>'Arbeidsark-K'!W103*Vekting!$D$3</f>
        <v>0.35633807041082549</v>
      </c>
      <c r="F102" s="64">
        <f>'Arbeidsark-K'!X103*Vekting!$E$3</f>
        <v>10.265295589642548</v>
      </c>
      <c r="G102" s="64">
        <f>'Arbeidsark-K'!Y103*Vekting!$F$3</f>
        <v>2.6950176513456743</v>
      </c>
      <c r="H102" s="64">
        <f>'Arbeidsark-K'!Z103*Vekting!$G$3</f>
        <v>2.4464257702081778</v>
      </c>
      <c r="I102" s="64">
        <f>'Arbeidsark-K'!AA103*Vekting!$H$3</f>
        <v>9.0461213393497228</v>
      </c>
      <c r="J102" s="64">
        <f>'Arbeidsark-K'!AB103*Vekting!$I$3</f>
        <v>6.676103678154913</v>
      </c>
      <c r="K102" s="64">
        <f>'Arbeidsark-K'!AC103*Vekting!$J$3</f>
        <v>7.4053093413306676</v>
      </c>
      <c r="L102" s="63">
        <f t="shared" si="1"/>
        <v>59.806023474814907</v>
      </c>
      <c r="M102" s="65" t="s">
        <v>549</v>
      </c>
    </row>
    <row r="103" spans="1:13" x14ac:dyDescent="0.25">
      <c r="A103" s="66" t="s">
        <v>102</v>
      </c>
      <c r="B103" s="66">
        <v>102</v>
      </c>
      <c r="C103" s="64">
        <f>'Arbeidsark-K'!U104*Vekting!$B$3</f>
        <v>18</v>
      </c>
      <c r="D103" s="64">
        <f>'Arbeidsark-K'!V104*Vekting!$C$3</f>
        <v>9.56570032211485</v>
      </c>
      <c r="E103" s="64">
        <f>'Arbeidsark-K'!W104*Vekting!$D$3</f>
        <v>1.8938709092569015</v>
      </c>
      <c r="F103" s="64">
        <f>'Arbeidsark-K'!X104*Vekting!$E$3</f>
        <v>12.889607361461112</v>
      </c>
      <c r="G103" s="64">
        <f>'Arbeidsark-K'!Y104*Vekting!$F$3</f>
        <v>2.8586485594996085</v>
      </c>
      <c r="H103" s="64">
        <f>'Arbeidsark-K'!Z104*Vekting!$G$3</f>
        <v>2.9133263649628383</v>
      </c>
      <c r="I103" s="64">
        <f>'Arbeidsark-K'!AA104*Vekting!$H$3</f>
        <v>4.6008807133003451</v>
      </c>
      <c r="J103" s="64">
        <f>'Arbeidsark-K'!AB104*Vekting!$I$3</f>
        <v>2.4044597857594852</v>
      </c>
      <c r="K103" s="64">
        <f>'Arbeidsark-K'!AC104*Vekting!$J$3</f>
        <v>4.1619460179940022</v>
      </c>
      <c r="L103" s="63">
        <f t="shared" si="1"/>
        <v>59.288440034349144</v>
      </c>
      <c r="M103" s="65" t="s">
        <v>550</v>
      </c>
    </row>
    <row r="104" spans="1:13" x14ac:dyDescent="0.25">
      <c r="A104" s="66" t="s">
        <v>103</v>
      </c>
      <c r="B104" s="66">
        <v>103</v>
      </c>
      <c r="C104" s="64">
        <f>'Arbeidsark-K'!U105*Vekting!$B$3</f>
        <v>18</v>
      </c>
      <c r="D104" s="64">
        <f>'Arbeidsark-K'!V105*Vekting!$C$3</f>
        <v>10</v>
      </c>
      <c r="E104" s="64">
        <f>'Arbeidsark-K'!W105*Vekting!$D$3</f>
        <v>2.9364451489415462</v>
      </c>
      <c r="F104" s="64">
        <f>'Arbeidsark-K'!X105*Vekting!$E$3</f>
        <v>18.768919464606018</v>
      </c>
      <c r="G104" s="64">
        <f>'Arbeidsark-K'!Y105*Vekting!$F$3</f>
        <v>4.1761533916652676</v>
      </c>
      <c r="H104" s="64">
        <f>'Arbeidsark-K'!Z105*Vekting!$G$3</f>
        <v>4.0528408558694613</v>
      </c>
      <c r="I104" s="64">
        <f>'Arbeidsark-K'!AA105*Vekting!$H$3</f>
        <v>9.8292593869755223</v>
      </c>
      <c r="J104" s="64">
        <f>'Arbeidsark-K'!AB105*Vekting!$I$3</f>
        <v>3.4456250931447006</v>
      </c>
      <c r="K104" s="64">
        <f>'Arbeidsark-K'!AC105*Vekting!$J$3</f>
        <v>6.7721870487615234</v>
      </c>
      <c r="L104" s="63">
        <f t="shared" si="1"/>
        <v>77.981430389964032</v>
      </c>
      <c r="M104" s="65" t="s">
        <v>551</v>
      </c>
    </row>
    <row r="105" spans="1:13" x14ac:dyDescent="0.25">
      <c r="A105" s="66" t="s">
        <v>104</v>
      </c>
      <c r="B105" s="66">
        <v>104</v>
      </c>
      <c r="C105" s="64">
        <f>'Arbeidsark-K'!U106*Vekting!$B$3</f>
        <v>18</v>
      </c>
      <c r="D105" s="64">
        <f>'Arbeidsark-K'!V106*Vekting!$C$3</f>
        <v>10</v>
      </c>
      <c r="E105" s="64">
        <f>'Arbeidsark-K'!W106*Vekting!$D$3</f>
        <v>10</v>
      </c>
      <c r="F105" s="64">
        <f>'Arbeidsark-K'!X106*Vekting!$E$3</f>
        <v>15.886025523289319</v>
      </c>
      <c r="G105" s="64">
        <f>'Arbeidsark-K'!Y106*Vekting!$F$3</f>
        <v>4.6132443519421216</v>
      </c>
      <c r="H105" s="64">
        <f>'Arbeidsark-K'!Z106*Vekting!$G$3</f>
        <v>4.7474638845104282</v>
      </c>
      <c r="I105" s="64">
        <f>'Arbeidsark-K'!AA106*Vekting!$H$3</f>
        <v>8.337847977546069</v>
      </c>
      <c r="J105" s="64">
        <f>'Arbeidsark-K'!AB106*Vekting!$I$3</f>
        <v>1.5821471083767891</v>
      </c>
      <c r="K105" s="64">
        <f>'Arbeidsark-K'!AC106*Vekting!$J$3</f>
        <v>5.294901699433523</v>
      </c>
      <c r="L105" s="63">
        <f t="shared" si="1"/>
        <v>78.461630545098259</v>
      </c>
      <c r="M105" s="65" t="s">
        <v>552</v>
      </c>
    </row>
    <row r="106" spans="1:13" x14ac:dyDescent="0.25">
      <c r="A106" s="66" t="s">
        <v>105</v>
      </c>
      <c r="B106" s="66">
        <v>105</v>
      </c>
      <c r="C106" s="64">
        <f>'Arbeidsark-K'!U107*Vekting!$B$3</f>
        <v>18</v>
      </c>
      <c r="D106" s="64">
        <f>'Arbeidsark-K'!V107*Vekting!$C$3</f>
        <v>10</v>
      </c>
      <c r="E106" s="64">
        <f>'Arbeidsark-K'!W107*Vekting!$D$3</f>
        <v>6.2665004640696846</v>
      </c>
      <c r="F106" s="64">
        <f>'Arbeidsark-K'!X107*Vekting!$E$3</f>
        <v>18.180132292425125</v>
      </c>
      <c r="G106" s="64">
        <f>'Arbeidsark-K'!Y107*Vekting!$F$3</f>
        <v>3.4403838739620443</v>
      </c>
      <c r="H106" s="64">
        <f>'Arbeidsark-K'!Z107*Vekting!$G$3</f>
        <v>4.485506288699094</v>
      </c>
      <c r="I106" s="64">
        <f>'Arbeidsark-K'!AA107*Vekting!$H$3</f>
        <v>10</v>
      </c>
      <c r="J106" s="64">
        <f>'Arbeidsark-K'!AB107*Vekting!$I$3</f>
        <v>5.6617428382244883</v>
      </c>
      <c r="K106" s="64">
        <f>'Arbeidsark-K'!AC107*Vekting!$J$3</f>
        <v>10</v>
      </c>
      <c r="L106" s="63">
        <f t="shared" si="1"/>
        <v>86.034265757380425</v>
      </c>
      <c r="M106" s="65" t="s">
        <v>553</v>
      </c>
    </row>
    <row r="107" spans="1:13" x14ac:dyDescent="0.25">
      <c r="A107" s="66" t="s">
        <v>106</v>
      </c>
      <c r="B107" s="66">
        <v>106</v>
      </c>
      <c r="C107" s="64">
        <f>'Arbeidsark-K'!U108*Vekting!$B$3</f>
        <v>20</v>
      </c>
      <c r="D107" s="64">
        <f>'Arbeidsark-K'!V108*Vekting!$C$3</f>
        <v>10</v>
      </c>
      <c r="E107" s="64">
        <f>'Arbeidsark-K'!W108*Vekting!$D$3</f>
        <v>10</v>
      </c>
      <c r="F107" s="64">
        <f>'Arbeidsark-K'!X108*Vekting!$E$3</f>
        <v>20</v>
      </c>
      <c r="G107" s="64">
        <f>'Arbeidsark-K'!Y108*Vekting!$F$3</f>
        <v>3.5049362651710108</v>
      </c>
      <c r="H107" s="64">
        <f>'Arbeidsark-K'!Z108*Vekting!$G$3</f>
        <v>5</v>
      </c>
      <c r="I107" s="64">
        <f>'Arbeidsark-K'!AA108*Vekting!$H$3</f>
        <v>10</v>
      </c>
      <c r="J107" s="64">
        <f>'Arbeidsark-K'!AB108*Vekting!$I$3</f>
        <v>6.1440450967069076</v>
      </c>
      <c r="K107" s="64">
        <f>'Arbeidsark-K'!AC108*Vekting!$J$3</f>
        <v>10</v>
      </c>
      <c r="L107" s="63">
        <f t="shared" si="1"/>
        <v>94.648981361877915</v>
      </c>
      <c r="M107" s="65" t="s">
        <v>554</v>
      </c>
    </row>
    <row r="108" spans="1:13" x14ac:dyDescent="0.25">
      <c r="A108" s="66" t="s">
        <v>107</v>
      </c>
      <c r="B108" s="66">
        <v>107</v>
      </c>
      <c r="C108" s="64">
        <f>'Arbeidsark-K'!U109*Vekting!$B$3</f>
        <v>20</v>
      </c>
      <c r="D108" s="64">
        <f>'Arbeidsark-K'!V109*Vekting!$C$3</f>
        <v>10</v>
      </c>
      <c r="E108" s="64">
        <f>'Arbeidsark-K'!W109*Vekting!$D$3</f>
        <v>4.2267182830099204</v>
      </c>
      <c r="F108" s="64">
        <f>'Arbeidsark-K'!X109*Vekting!$E$3</f>
        <v>9.7792861313931692</v>
      </c>
      <c r="G108" s="64">
        <f>'Arbeidsark-K'!Y109*Vekting!$F$3</f>
        <v>1.0776259951858074</v>
      </c>
      <c r="H108" s="64">
        <f>'Arbeidsark-K'!Z109*Vekting!$G$3</f>
        <v>2.4356450689224922</v>
      </c>
      <c r="I108" s="64">
        <f>'Arbeidsark-K'!AA109*Vekting!$H$3</f>
        <v>0</v>
      </c>
      <c r="J108" s="64">
        <f>'Arbeidsark-K'!AB109*Vekting!$I$3</f>
        <v>3.2707084013992773</v>
      </c>
      <c r="K108" s="64">
        <f>'Arbeidsark-K'!AC109*Vekting!$J$3</f>
        <v>7.0720870820837494</v>
      </c>
      <c r="L108" s="63">
        <f t="shared" si="1"/>
        <v>57.862070961994412</v>
      </c>
      <c r="M108" s="65" t="s">
        <v>555</v>
      </c>
    </row>
    <row r="109" spans="1:13" x14ac:dyDescent="0.25">
      <c r="A109" s="66" t="s">
        <v>108</v>
      </c>
      <c r="B109" s="66">
        <v>108</v>
      </c>
      <c r="C109" s="64">
        <f>'Arbeidsark-K'!U110*Vekting!$B$3</f>
        <v>12</v>
      </c>
      <c r="D109" s="64">
        <f>'Arbeidsark-K'!V110*Vekting!$C$3</f>
        <v>9.0884183386682551</v>
      </c>
      <c r="E109" s="64">
        <f>'Arbeidsark-K'!W110*Vekting!$D$3</f>
        <v>0.26476830376456206</v>
      </c>
      <c r="F109" s="64">
        <f>'Arbeidsark-K'!X110*Vekting!$E$3</f>
        <v>10.605308054629278</v>
      </c>
      <c r="G109" s="64">
        <f>'Arbeidsark-K'!Y110*Vekting!$F$3</f>
        <v>1.9880580891758843</v>
      </c>
      <c r="H109" s="64">
        <f>'Arbeidsark-K'!Z110*Vekting!$G$3</f>
        <v>2.5063755390199347</v>
      </c>
      <c r="I109" s="64">
        <f>'Arbeidsark-K'!AA110*Vekting!$H$3</f>
        <v>3.7816399636599609</v>
      </c>
      <c r="J109" s="64">
        <f>'Arbeidsark-K'!AB110*Vekting!$I$3</f>
        <v>8.9254936740461623</v>
      </c>
      <c r="K109" s="64">
        <f>'Arbeidsark-K'!AC110*Vekting!$J$3</f>
        <v>6.4500721981561702</v>
      </c>
      <c r="L109" s="63">
        <f t="shared" si="1"/>
        <v>55.610134161120207</v>
      </c>
      <c r="M109" s="65" t="s">
        <v>556</v>
      </c>
    </row>
    <row r="110" spans="1:13" x14ac:dyDescent="0.25">
      <c r="A110" s="66" t="s">
        <v>109</v>
      </c>
      <c r="B110" s="66">
        <v>109</v>
      </c>
      <c r="C110" s="64">
        <f>'Arbeidsark-K'!U111*Vekting!$B$3</f>
        <v>12</v>
      </c>
      <c r="D110" s="64">
        <f>'Arbeidsark-K'!V111*Vekting!$C$3</f>
        <v>8.1917475319674598</v>
      </c>
      <c r="E110" s="64">
        <f>'Arbeidsark-K'!W111*Vekting!$D$3</f>
        <v>0.13924988292753399</v>
      </c>
      <c r="F110" s="64">
        <f>'Arbeidsark-K'!X111*Vekting!$E$3</f>
        <v>4.5133800190546598</v>
      </c>
      <c r="G110" s="64">
        <f>'Arbeidsark-K'!Y111*Vekting!$F$3</f>
        <v>1.9495513702187141E-2</v>
      </c>
      <c r="H110" s="64">
        <f>'Arbeidsark-K'!Z111*Vekting!$G$3</f>
        <v>0.38633001026264835</v>
      </c>
      <c r="I110" s="64">
        <f>'Arbeidsark-K'!AA111*Vekting!$H$3</f>
        <v>7.3142747565624262</v>
      </c>
      <c r="J110" s="64">
        <f>'Arbeidsark-K'!AB111*Vekting!$I$3</f>
        <v>10</v>
      </c>
      <c r="K110" s="64">
        <f>'Arbeidsark-K'!AC111*Vekting!$J$3</f>
        <v>2.0515383760968562</v>
      </c>
      <c r="L110" s="63">
        <f t="shared" si="1"/>
        <v>44.616016090573765</v>
      </c>
      <c r="M110" s="65" t="s">
        <v>557</v>
      </c>
    </row>
    <row r="111" spans="1:13" x14ac:dyDescent="0.25">
      <c r="A111" s="66" t="s">
        <v>110</v>
      </c>
      <c r="B111" s="66">
        <v>110</v>
      </c>
      <c r="C111" s="64">
        <f>'Arbeidsark-K'!U112*Vekting!$B$3</f>
        <v>0</v>
      </c>
      <c r="D111" s="64">
        <f>'Arbeidsark-K'!V112*Vekting!$C$3</f>
        <v>6.6784472515895379</v>
      </c>
      <c r="E111" s="64">
        <f>'Arbeidsark-K'!W112*Vekting!$D$3</f>
        <v>0</v>
      </c>
      <c r="F111" s="64">
        <f>'Arbeidsark-K'!X112*Vekting!$E$3</f>
        <v>4.8341635044842866</v>
      </c>
      <c r="G111" s="64">
        <f>'Arbeidsark-K'!Y112*Vekting!$F$3</f>
        <v>0</v>
      </c>
      <c r="H111" s="64">
        <f>'Arbeidsark-K'!Z112*Vekting!$G$3</f>
        <v>1.0289622559297944</v>
      </c>
      <c r="I111" s="64">
        <f>'Arbeidsark-K'!AA112*Vekting!$H$3</f>
        <v>3.847561564777128</v>
      </c>
      <c r="J111" s="64">
        <f>'Arbeidsark-K'!AB112*Vekting!$I$3</f>
        <v>10</v>
      </c>
      <c r="K111" s="64">
        <f>'Arbeidsark-K'!AC112*Vekting!$J$3</f>
        <v>1.9737865156059087</v>
      </c>
      <c r="L111" s="63">
        <f t="shared" si="1"/>
        <v>28.362921092386657</v>
      </c>
      <c r="M111" s="65" t="s">
        <v>558</v>
      </c>
    </row>
    <row r="112" spans="1:13" x14ac:dyDescent="0.25">
      <c r="A112" s="66" t="s">
        <v>111</v>
      </c>
      <c r="B112" s="66">
        <v>111</v>
      </c>
      <c r="C112" s="64">
        <f>'Arbeidsark-K'!U113*Vekting!$B$3</f>
        <v>18</v>
      </c>
      <c r="D112" s="64">
        <f>'Arbeidsark-K'!V113*Vekting!$C$3</f>
        <v>9.6320081858235813</v>
      </c>
      <c r="E112" s="64">
        <f>'Arbeidsark-K'!W113*Vekting!$D$3</f>
        <v>10</v>
      </c>
      <c r="F112" s="64">
        <f>'Arbeidsark-K'!X113*Vekting!$E$3</f>
        <v>12.245034401248796</v>
      </c>
      <c r="G112" s="64">
        <f>'Arbeidsark-K'!Y113*Vekting!$F$3</f>
        <v>3.0444880004811172</v>
      </c>
      <c r="H112" s="64">
        <f>'Arbeidsark-K'!Z113*Vekting!$G$3</f>
        <v>2.9856228578651507</v>
      </c>
      <c r="I112" s="64">
        <f>'Arbeidsark-K'!AA113*Vekting!$H$3</f>
        <v>5.6375396816455758</v>
      </c>
      <c r="J112" s="64">
        <f>'Arbeidsark-K'!AB113*Vekting!$I$3</f>
        <v>0</v>
      </c>
      <c r="K112" s="64">
        <f>'Arbeidsark-K'!AC113*Vekting!$J$3</f>
        <v>4.5840275463734308</v>
      </c>
      <c r="L112" s="63">
        <f t="shared" si="1"/>
        <v>66.128720673437655</v>
      </c>
      <c r="M112" s="65" t="s">
        <v>559</v>
      </c>
    </row>
    <row r="113" spans="1:13" x14ac:dyDescent="0.25">
      <c r="A113" s="66" t="s">
        <v>112</v>
      </c>
      <c r="B113" s="66">
        <v>112</v>
      </c>
      <c r="C113" s="64">
        <f>'Arbeidsark-K'!U114*Vekting!$B$3</f>
        <v>18</v>
      </c>
      <c r="D113" s="64">
        <f>'Arbeidsark-K'!V114*Vekting!$C$3</f>
        <v>9.5004022228280807</v>
      </c>
      <c r="E113" s="64">
        <f>'Arbeidsark-K'!W114*Vekting!$D$3</f>
        <v>10</v>
      </c>
      <c r="F113" s="64">
        <f>'Arbeidsark-K'!X114*Vekting!$E$3</f>
        <v>20</v>
      </c>
      <c r="G113" s="64">
        <f>'Arbeidsark-K'!Y114*Vekting!$F$3</f>
        <v>5</v>
      </c>
      <c r="H113" s="64">
        <f>'Arbeidsark-K'!Z114*Vekting!$G$3</f>
        <v>3.7001103089945282</v>
      </c>
      <c r="I113" s="64">
        <f>'Arbeidsark-K'!AA114*Vekting!$H$3</f>
        <v>5.5115176629242466</v>
      </c>
      <c r="J113" s="64">
        <f>'Arbeidsark-K'!AB114*Vekting!$I$3</f>
        <v>0</v>
      </c>
      <c r="K113" s="64">
        <f>'Arbeidsark-K'!AC114*Vekting!$J$3</f>
        <v>8.9159169165833614</v>
      </c>
      <c r="L113" s="63">
        <f t="shared" si="1"/>
        <v>80.627947111330215</v>
      </c>
      <c r="M113" s="65" t="s">
        <v>560</v>
      </c>
    </row>
    <row r="114" spans="1:13" x14ac:dyDescent="0.25">
      <c r="A114" s="66" t="s">
        <v>867</v>
      </c>
      <c r="B114" s="66">
        <v>113</v>
      </c>
      <c r="C114" s="64">
        <f>'Arbeidsark-K'!U115*Vekting!$B$3</f>
        <v>14</v>
      </c>
      <c r="D114" s="64">
        <f>'Arbeidsark-K'!V115*Vekting!$C$3</f>
        <v>9.1045745694196221</v>
      </c>
      <c r="E114" s="64">
        <f>'Arbeidsark-K'!W115*Vekting!$D$3</f>
        <v>10</v>
      </c>
      <c r="F114" s="64">
        <f>'Arbeidsark-K'!X115*Vekting!$E$3</f>
        <v>11.827302250706632</v>
      </c>
      <c r="G114" s="64">
        <f>'Arbeidsark-K'!Y115*Vekting!$F$3</f>
        <v>3.6167431716953802</v>
      </c>
      <c r="H114" s="64">
        <f>'Arbeidsark-K'!Z115*Vekting!$G$3</f>
        <v>3.4993880028118909</v>
      </c>
      <c r="I114" s="64">
        <f>'Arbeidsark-K'!AA115*Vekting!$H$3</f>
        <v>6.1164322939717488</v>
      </c>
      <c r="J114" s="64">
        <f>'Arbeidsark-K'!AB115*Vekting!$I$3</f>
        <v>3.3855550307058011</v>
      </c>
      <c r="K114" s="64">
        <f>'Arbeidsark-K'!AC115*Vekting!$J$3</f>
        <v>6.5143913385821008</v>
      </c>
      <c r="L114" s="63">
        <f t="shared" si="1"/>
        <v>68.064386657893181</v>
      </c>
      <c r="M114" s="65" t="s">
        <v>561</v>
      </c>
    </row>
    <row r="115" spans="1:13" x14ac:dyDescent="0.25">
      <c r="A115" s="66" t="s">
        <v>113</v>
      </c>
      <c r="B115" s="66">
        <v>114</v>
      </c>
      <c r="C115" s="64">
        <f>'Arbeidsark-K'!U116*Vekting!$B$3</f>
        <v>18</v>
      </c>
      <c r="D115" s="64">
        <f>'Arbeidsark-K'!V116*Vekting!$C$3</f>
        <v>10</v>
      </c>
      <c r="E115" s="64">
        <f>'Arbeidsark-K'!W116*Vekting!$D$3</f>
        <v>8.4978207204283134</v>
      </c>
      <c r="F115" s="64">
        <f>'Arbeidsark-K'!X116*Vekting!$E$3</f>
        <v>7.1893796057224852</v>
      </c>
      <c r="G115" s="64">
        <f>'Arbeidsark-K'!Y116*Vekting!$F$3</f>
        <v>2.3976212380497626</v>
      </c>
      <c r="H115" s="64">
        <f>'Arbeidsark-K'!Z116*Vekting!$G$3</f>
        <v>3.030356607763526</v>
      </c>
      <c r="I115" s="64">
        <f>'Arbeidsark-K'!AA116*Vekting!$H$3</f>
        <v>2.4246905352522434</v>
      </c>
      <c r="J115" s="64">
        <f>'Arbeidsark-K'!AB116*Vekting!$I$3</f>
        <v>1.1442791270277965</v>
      </c>
      <c r="K115" s="64">
        <f>'Arbeidsark-K'!AC116*Vekting!$J$3</f>
        <v>5.5170498722648009</v>
      </c>
      <c r="L115" s="63">
        <f t="shared" si="1"/>
        <v>58.201197706508928</v>
      </c>
      <c r="M115" s="65" t="s">
        <v>562</v>
      </c>
    </row>
    <row r="116" spans="1:13" x14ac:dyDescent="0.25">
      <c r="A116" s="66" t="s">
        <v>874</v>
      </c>
      <c r="B116" s="66">
        <v>115</v>
      </c>
      <c r="C116" s="64">
        <f>'Arbeidsark-K'!U117*Vekting!$B$3</f>
        <v>14</v>
      </c>
      <c r="D116" s="64">
        <f>'Arbeidsark-K'!V117*Vekting!$C$3</f>
        <v>8.7747181915792378</v>
      </c>
      <c r="E116" s="64">
        <f>'Arbeidsark-K'!W117*Vekting!$D$3</f>
        <v>4.1758513676544782</v>
      </c>
      <c r="F116" s="64">
        <f>'Arbeidsark-K'!X117*Vekting!$E$3</f>
        <v>10.154241530345329</v>
      </c>
      <c r="G116" s="64">
        <f>'Arbeidsark-K'!Y117*Vekting!$F$3</f>
        <v>2.5097051539215212</v>
      </c>
      <c r="H116" s="64">
        <f>'Arbeidsark-K'!Z117*Vekting!$G$3</f>
        <v>2.7229974169319031</v>
      </c>
      <c r="I116" s="64">
        <f>'Arbeidsark-K'!AA117*Vekting!$H$3</f>
        <v>4.3533523306495177</v>
      </c>
      <c r="J116" s="64">
        <f>'Arbeidsark-K'!AB117*Vekting!$I$3</f>
        <v>0.95424072564066487</v>
      </c>
      <c r="K116" s="64">
        <f>'Arbeidsark-K'!AC117*Vekting!$J$3</f>
        <v>4.8208749579619585</v>
      </c>
      <c r="L116" s="63">
        <f t="shared" si="1"/>
        <v>52.465981674684613</v>
      </c>
      <c r="M116" s="65"/>
    </row>
    <row r="117" spans="1:13" x14ac:dyDescent="0.25">
      <c r="A117" s="66" t="s">
        <v>114</v>
      </c>
      <c r="B117" s="66">
        <v>116</v>
      </c>
      <c r="C117" s="64">
        <f>'Arbeidsark-K'!U118*Vekting!$B$3</f>
        <v>18</v>
      </c>
      <c r="D117" s="64">
        <f>'Arbeidsark-K'!V118*Vekting!$C$3</f>
        <v>10</v>
      </c>
      <c r="E117" s="64">
        <f>'Arbeidsark-K'!W118*Vekting!$D$3</f>
        <v>3.8756772855077224</v>
      </c>
      <c r="F117" s="64">
        <f>'Arbeidsark-K'!X118*Vekting!$E$3</f>
        <v>20</v>
      </c>
      <c r="G117" s="64">
        <f>'Arbeidsark-K'!Y118*Vekting!$F$3</f>
        <v>3.1034604621791271</v>
      </c>
      <c r="H117" s="64">
        <f>'Arbeidsark-K'!Z118*Vekting!$G$3</f>
        <v>4.065873685100331</v>
      </c>
      <c r="I117" s="64">
        <f>'Arbeidsark-K'!AA118*Vekting!$H$3</f>
        <v>8.9658632377426155</v>
      </c>
      <c r="J117" s="64">
        <f>'Arbeidsark-K'!AB118*Vekting!$I$3</f>
        <v>3.3699248689399912</v>
      </c>
      <c r="K117" s="64">
        <f>'Arbeidsark-K'!AC118*Vekting!$J$3</f>
        <v>8.4382983449961131</v>
      </c>
      <c r="L117" s="63">
        <f t="shared" si="1"/>
        <v>79.81909788446589</v>
      </c>
      <c r="M117" s="65" t="s">
        <v>563</v>
      </c>
    </row>
    <row r="118" spans="1:13" x14ac:dyDescent="0.25">
      <c r="A118" s="66" t="s">
        <v>875</v>
      </c>
      <c r="B118" s="66">
        <v>117</v>
      </c>
      <c r="C118" s="64">
        <f>'Arbeidsark-K'!U119*Vekting!$B$3</f>
        <v>18</v>
      </c>
      <c r="D118" s="64">
        <f>'Arbeidsark-K'!V119*Vekting!$C$3</f>
        <v>10</v>
      </c>
      <c r="E118" s="64">
        <f>'Arbeidsark-K'!W119*Vekting!$D$3</f>
        <v>4.1056908888972687</v>
      </c>
      <c r="F118" s="64">
        <f>'Arbeidsark-K'!X119*Vekting!$E$3</f>
        <v>12.839630160941034</v>
      </c>
      <c r="G118" s="64">
        <f>'Arbeidsark-K'!Y119*Vekting!$F$3</f>
        <v>3.2067374329754963</v>
      </c>
      <c r="H118" s="64">
        <f>'Arbeidsark-K'!Z119*Vekting!$G$3</f>
        <v>2.9303159195504072</v>
      </c>
      <c r="I118" s="64">
        <f>'Arbeidsark-K'!AA119*Vekting!$H$3</f>
        <v>2.6564692256105378</v>
      </c>
      <c r="J118" s="64">
        <f>'Arbeidsark-K'!AB119*Vekting!$I$3</f>
        <v>1.5786381422323417</v>
      </c>
      <c r="K118" s="64">
        <f>'Arbeidsark-K'!AC119*Vekting!$J$3</f>
        <v>5.8493910149608261</v>
      </c>
      <c r="L118" s="63">
        <f t="shared" si="1"/>
        <v>61.166872785167911</v>
      </c>
      <c r="M118" s="65" t="s">
        <v>564</v>
      </c>
    </row>
    <row r="119" spans="1:13" x14ac:dyDescent="0.25">
      <c r="A119" s="66" t="s">
        <v>115</v>
      </c>
      <c r="B119" s="66">
        <v>118</v>
      </c>
      <c r="C119" s="64">
        <f>'Arbeidsark-K'!U120*Vekting!$B$3</f>
        <v>18</v>
      </c>
      <c r="D119" s="64">
        <f>'Arbeidsark-K'!V120*Vekting!$C$3</f>
        <v>9.7733752048980307</v>
      </c>
      <c r="E119" s="64">
        <f>'Arbeidsark-K'!W120*Vekting!$D$3</f>
        <v>3.0541413363089607</v>
      </c>
      <c r="F119" s="64">
        <f>'Arbeidsark-K'!X120*Vekting!$E$3</f>
        <v>16.760050207518102</v>
      </c>
      <c r="G119" s="64">
        <f>'Arbeidsark-K'!Y120*Vekting!$F$3</f>
        <v>4.038109817984509</v>
      </c>
      <c r="H119" s="64">
        <f>'Arbeidsark-K'!Z120*Vekting!$G$3</f>
        <v>4.9273284717903447</v>
      </c>
      <c r="I119" s="64">
        <f>'Arbeidsark-K'!AA120*Vekting!$H$3</f>
        <v>8.4672679515073668</v>
      </c>
      <c r="J119" s="64">
        <f>'Arbeidsark-K'!AB120*Vekting!$I$3</f>
        <v>4.9734906466210589</v>
      </c>
      <c r="K119" s="64">
        <f>'Arbeidsark-K'!AC120*Vekting!$J$3</f>
        <v>6.3945351549483505</v>
      </c>
      <c r="L119" s="63">
        <f t="shared" si="1"/>
        <v>76.388298791576716</v>
      </c>
      <c r="M119" s="65" t="s">
        <v>565</v>
      </c>
    </row>
    <row r="120" spans="1:13" x14ac:dyDescent="0.25">
      <c r="A120" s="66" t="s">
        <v>876</v>
      </c>
      <c r="B120" s="66">
        <v>119</v>
      </c>
      <c r="C120" s="64">
        <f>'Arbeidsark-K'!U121*Vekting!$B$3</f>
        <v>18</v>
      </c>
      <c r="D120" s="64">
        <f>'Arbeidsark-K'!V121*Vekting!$C$3</f>
        <v>9.2513269987445259</v>
      </c>
      <c r="E120" s="64">
        <f>'Arbeidsark-K'!W121*Vekting!$D$3</f>
        <v>10</v>
      </c>
      <c r="F120" s="64">
        <f>'Arbeidsark-K'!X121*Vekting!$E$3</f>
        <v>11.222414516339542</v>
      </c>
      <c r="G120" s="64">
        <f>'Arbeidsark-K'!Y121*Vekting!$F$3</f>
        <v>2.0712873226620636</v>
      </c>
      <c r="H120" s="64">
        <f>'Arbeidsark-K'!Z121*Vekting!$G$3</f>
        <v>2.6132371750702386</v>
      </c>
      <c r="I120" s="64">
        <f>'Arbeidsark-K'!AA121*Vekting!$H$3</f>
        <v>6.7979045529304969</v>
      </c>
      <c r="J120" s="64">
        <f>'Arbeidsark-K'!AB121*Vekting!$I$3</f>
        <v>2.1199285078874697</v>
      </c>
      <c r="K120" s="64">
        <f>'Arbeidsark-K'!AC121*Vekting!$J$3</f>
        <v>10</v>
      </c>
      <c r="L120" s="63">
        <f t="shared" si="1"/>
        <v>72.076099073634339</v>
      </c>
      <c r="M120" s="65" t="s">
        <v>566</v>
      </c>
    </row>
    <row r="121" spans="1:13" x14ac:dyDescent="0.25">
      <c r="A121" s="66" t="s">
        <v>116</v>
      </c>
      <c r="B121" s="66">
        <v>120</v>
      </c>
      <c r="C121" s="64">
        <f>'Arbeidsark-K'!U122*Vekting!$B$3</f>
        <v>14</v>
      </c>
      <c r="D121" s="64">
        <f>'Arbeidsark-K'!V122*Vekting!$C$3</f>
        <v>8.1049077916788672</v>
      </c>
      <c r="E121" s="64">
        <f>'Arbeidsark-K'!W122*Vekting!$D$3</f>
        <v>10</v>
      </c>
      <c r="F121" s="64">
        <f>'Arbeidsark-K'!X122*Vekting!$E$3</f>
        <v>10.329490276739911</v>
      </c>
      <c r="G121" s="64">
        <f>'Arbeidsark-K'!Y122*Vekting!$F$3</f>
        <v>3.6454730137963809</v>
      </c>
      <c r="H121" s="64">
        <f>'Arbeidsark-K'!Z122*Vekting!$G$3</f>
        <v>3.2707449837819746</v>
      </c>
      <c r="I121" s="64">
        <f>'Arbeidsark-K'!AA122*Vekting!$H$3</f>
        <v>2.385673063983218</v>
      </c>
      <c r="J121" s="64">
        <f>'Arbeidsark-K'!AB122*Vekting!$I$3</f>
        <v>0</v>
      </c>
      <c r="K121" s="64">
        <f>'Arbeidsark-K'!AC122*Vekting!$J$3</f>
        <v>5.6947684105298242</v>
      </c>
      <c r="L121" s="63">
        <f t="shared" si="1"/>
        <v>57.431057540510182</v>
      </c>
      <c r="M121" s="65" t="s">
        <v>567</v>
      </c>
    </row>
    <row r="122" spans="1:13" x14ac:dyDescent="0.25">
      <c r="A122" s="66" t="s">
        <v>117</v>
      </c>
      <c r="B122" s="66">
        <v>121</v>
      </c>
      <c r="C122" s="64">
        <f>'Arbeidsark-K'!U123*Vekting!$B$3</f>
        <v>14</v>
      </c>
      <c r="D122" s="64">
        <f>'Arbeidsark-K'!V123*Vekting!$C$3</f>
        <v>8.0571122757060785</v>
      </c>
      <c r="E122" s="64">
        <f>'Arbeidsark-K'!W123*Vekting!$D$3</f>
        <v>5.1025092094102886</v>
      </c>
      <c r="F122" s="64">
        <f>'Arbeidsark-K'!X123*Vekting!$E$3</f>
        <v>10.849717996005214</v>
      </c>
      <c r="G122" s="64">
        <f>'Arbeidsark-K'!Y123*Vekting!$F$3</f>
        <v>3.8661662428199364</v>
      </c>
      <c r="H122" s="64">
        <f>'Arbeidsark-K'!Z123*Vekting!$G$3</f>
        <v>3.2837374486074817</v>
      </c>
      <c r="I122" s="64">
        <f>'Arbeidsark-K'!AA123*Vekting!$H$3</f>
        <v>5.5103333860440777</v>
      </c>
      <c r="J122" s="64">
        <f>'Arbeidsark-K'!AB123*Vekting!$I$3</f>
        <v>0</v>
      </c>
      <c r="K122" s="64">
        <f>'Arbeidsark-K'!AC123*Vekting!$J$3</f>
        <v>4.3729867821837169</v>
      </c>
      <c r="L122" s="63">
        <f t="shared" si="1"/>
        <v>55.042563340776795</v>
      </c>
      <c r="M122" s="65" t="s">
        <v>568</v>
      </c>
    </row>
    <row r="123" spans="1:13" x14ac:dyDescent="0.25">
      <c r="A123" s="66" t="s">
        <v>118</v>
      </c>
      <c r="B123" s="66">
        <v>122</v>
      </c>
      <c r="C123" s="64">
        <f>'Arbeidsark-K'!U124*Vekting!$B$3</f>
        <v>12</v>
      </c>
      <c r="D123" s="64">
        <f>'Arbeidsark-K'!V124*Vekting!$C$3</f>
        <v>8.5081403841817043</v>
      </c>
      <c r="E123" s="64">
        <f>'Arbeidsark-K'!W124*Vekting!$D$3</f>
        <v>0.94214766006762007</v>
      </c>
      <c r="F123" s="64">
        <f>'Arbeidsark-K'!X124*Vekting!$E$3</f>
        <v>8.4763989499757013</v>
      </c>
      <c r="G123" s="64">
        <f>'Arbeidsark-K'!Y124*Vekting!$F$3</f>
        <v>3.23959257622194</v>
      </c>
      <c r="H123" s="64">
        <f>'Arbeidsark-K'!Z124*Vekting!$G$3</f>
        <v>2.3007005088027426</v>
      </c>
      <c r="I123" s="64">
        <f>'Arbeidsark-K'!AA124*Vekting!$H$3</f>
        <v>2.6868549497336205</v>
      </c>
      <c r="J123" s="64">
        <f>'Arbeidsark-K'!AB124*Vekting!$I$3</f>
        <v>0</v>
      </c>
      <c r="K123" s="64">
        <f>'Arbeidsark-K'!AC124*Vekting!$J$3</f>
        <v>3.5177163167832948</v>
      </c>
      <c r="L123" s="63">
        <f t="shared" si="1"/>
        <v>41.671551345766616</v>
      </c>
      <c r="M123" s="65" t="s">
        <v>569</v>
      </c>
    </row>
    <row r="124" spans="1:13" x14ac:dyDescent="0.25">
      <c r="A124" s="66" t="s">
        <v>119</v>
      </c>
      <c r="B124" s="66">
        <v>123</v>
      </c>
      <c r="C124" s="64">
        <f>'Arbeidsark-K'!U125*Vekting!$B$3</f>
        <v>14</v>
      </c>
      <c r="D124" s="64">
        <f>'Arbeidsark-K'!V125*Vekting!$C$3</f>
        <v>8.6239267045664914</v>
      </c>
      <c r="E124" s="64">
        <f>'Arbeidsark-K'!W125*Vekting!$D$3</f>
        <v>0.72821114461525704</v>
      </c>
      <c r="F124" s="64">
        <f>'Arbeidsark-K'!X125*Vekting!$E$3</f>
        <v>4.5153572890480804</v>
      </c>
      <c r="G124" s="64">
        <f>'Arbeidsark-K'!Y125*Vekting!$F$3</f>
        <v>3.7017641010207742</v>
      </c>
      <c r="H124" s="64">
        <f>'Arbeidsark-K'!Z125*Vekting!$G$3</f>
        <v>2.9215951409640089</v>
      </c>
      <c r="I124" s="64">
        <f>'Arbeidsark-K'!AA125*Vekting!$H$3</f>
        <v>3.1128387669356061</v>
      </c>
      <c r="J124" s="64">
        <f>'Arbeidsark-K'!AB125*Vekting!$I$3</f>
        <v>5.8536119357854286</v>
      </c>
      <c r="K124" s="64">
        <f>'Arbeidsark-K'!AC125*Vekting!$J$3</f>
        <v>3.762079306897701</v>
      </c>
      <c r="L124" s="63">
        <f t="shared" si="1"/>
        <v>47.219384389833351</v>
      </c>
      <c r="M124" s="65" t="s">
        <v>570</v>
      </c>
    </row>
    <row r="125" spans="1:13" x14ac:dyDescent="0.25">
      <c r="A125" s="66" t="s">
        <v>120</v>
      </c>
      <c r="B125" s="66">
        <v>124</v>
      </c>
      <c r="C125" s="64">
        <f>'Arbeidsark-K'!U126*Vekting!$B$3</f>
        <v>14</v>
      </c>
      <c r="D125" s="64">
        <f>'Arbeidsark-K'!V126*Vekting!$C$3</f>
        <v>7.6235867505444324</v>
      </c>
      <c r="E125" s="64">
        <f>'Arbeidsark-K'!W126*Vekting!$D$3</f>
        <v>3.3691254428593553</v>
      </c>
      <c r="F125" s="64">
        <f>'Arbeidsark-K'!X126*Vekting!$E$3</f>
        <v>5.1695310296667571</v>
      </c>
      <c r="G125" s="64">
        <f>'Arbeidsark-K'!Y126*Vekting!$F$3</f>
        <v>2.2769753820129135</v>
      </c>
      <c r="H125" s="64">
        <f>'Arbeidsark-K'!Z126*Vekting!$G$3</f>
        <v>2.7626206205028585</v>
      </c>
      <c r="I125" s="64">
        <f>'Arbeidsark-K'!AA126*Vekting!$H$3</f>
        <v>0</v>
      </c>
      <c r="J125" s="64">
        <f>'Arbeidsark-K'!AB126*Vekting!$I$3</f>
        <v>0.99954139368066564</v>
      </c>
      <c r="K125" s="64">
        <f>'Arbeidsark-K'!AC126*Vekting!$J$3</f>
        <v>6.0724203043429972</v>
      </c>
      <c r="L125" s="63">
        <f t="shared" si="1"/>
        <v>42.273800923609983</v>
      </c>
      <c r="M125" s="65" t="s">
        <v>571</v>
      </c>
    </row>
    <row r="126" spans="1:13" x14ac:dyDescent="0.25">
      <c r="A126" s="66" t="s">
        <v>121</v>
      </c>
      <c r="B126" s="66">
        <v>125</v>
      </c>
      <c r="C126" s="64">
        <f>'Arbeidsark-K'!U127*Vekting!$B$3</f>
        <v>14</v>
      </c>
      <c r="D126" s="64">
        <f>'Arbeidsark-K'!V127*Vekting!$C$3</f>
        <v>6.6245931490849861</v>
      </c>
      <c r="E126" s="64">
        <f>'Arbeidsark-K'!W127*Vekting!$D$3</f>
        <v>2.4901030950137244</v>
      </c>
      <c r="F126" s="64">
        <f>'Arbeidsark-K'!X127*Vekting!$E$3</f>
        <v>5.5608458601398016</v>
      </c>
      <c r="G126" s="64">
        <f>'Arbeidsark-K'!Y127*Vekting!$F$3</f>
        <v>1.3865431375340345</v>
      </c>
      <c r="H126" s="64">
        <f>'Arbeidsark-K'!Z127*Vekting!$G$3</f>
        <v>1.1820113725179646</v>
      </c>
      <c r="I126" s="64">
        <f>'Arbeidsark-K'!AA127*Vekting!$H$3</f>
        <v>0.66848367004031817</v>
      </c>
      <c r="J126" s="64">
        <f>'Arbeidsark-K'!AB127*Vekting!$I$3</f>
        <v>0</v>
      </c>
      <c r="K126" s="64">
        <f>'Arbeidsark-K'!AC127*Vekting!$J$3</f>
        <v>1.9182494723980896</v>
      </c>
      <c r="L126" s="63">
        <f t="shared" si="1"/>
        <v>33.830829756728917</v>
      </c>
      <c r="M126" s="65" t="s">
        <v>572</v>
      </c>
    </row>
    <row r="127" spans="1:13" x14ac:dyDescent="0.25">
      <c r="A127" s="66" t="s">
        <v>122</v>
      </c>
      <c r="B127" s="66">
        <v>126</v>
      </c>
      <c r="C127" s="64">
        <f>'Arbeidsark-K'!U128*Vekting!$B$3</f>
        <v>14</v>
      </c>
      <c r="D127" s="64">
        <f>'Arbeidsark-K'!V128*Vekting!$C$3</f>
        <v>6.2543461943661889</v>
      </c>
      <c r="E127" s="64">
        <f>'Arbeidsark-K'!W128*Vekting!$D$3</f>
        <v>0.19806716144167213</v>
      </c>
      <c r="F127" s="64">
        <f>'Arbeidsark-K'!X128*Vekting!$E$3</f>
        <v>4.9477004670136928</v>
      </c>
      <c r="G127" s="64">
        <f>'Arbeidsark-K'!Y128*Vekting!$F$3</f>
        <v>1.2106656980738266</v>
      </c>
      <c r="H127" s="64">
        <f>'Arbeidsark-K'!Z128*Vekting!$G$3</f>
        <v>1.7439882792172239</v>
      </c>
      <c r="I127" s="64">
        <f>'Arbeidsark-K'!AA128*Vekting!$H$3</f>
        <v>4.782865652889547</v>
      </c>
      <c r="J127" s="64">
        <f>'Arbeidsark-K'!AB128*Vekting!$I$3</f>
        <v>2.1809222587985491</v>
      </c>
      <c r="K127" s="64">
        <f>'Arbeidsark-K'!AC128*Vekting!$J$3</f>
        <v>0.31878262801288459</v>
      </c>
      <c r="L127" s="63">
        <f t="shared" si="1"/>
        <v>35.637338339813574</v>
      </c>
      <c r="M127" s="65" t="s">
        <v>573</v>
      </c>
    </row>
    <row r="128" spans="1:13" x14ac:dyDescent="0.25">
      <c r="A128" s="66" t="s">
        <v>123</v>
      </c>
      <c r="B128" s="66">
        <v>127</v>
      </c>
      <c r="C128" s="64">
        <f>'Arbeidsark-K'!U129*Vekting!$B$3</f>
        <v>14</v>
      </c>
      <c r="D128" s="64">
        <f>'Arbeidsark-K'!V129*Vekting!$C$3</f>
        <v>6.9281956519544003</v>
      </c>
      <c r="E128" s="64">
        <f>'Arbeidsark-K'!W129*Vekting!$D$3</f>
        <v>1.0493577739733753</v>
      </c>
      <c r="F128" s="64">
        <f>'Arbeidsark-K'!X129*Vekting!$E$3</f>
        <v>4.8156472408493105</v>
      </c>
      <c r="G128" s="64">
        <f>'Arbeidsark-K'!Y129*Vekting!$F$3</f>
        <v>1.6625661170378274</v>
      </c>
      <c r="H128" s="64">
        <f>'Arbeidsark-K'!Z129*Vekting!$G$3</f>
        <v>1.7662815217609571</v>
      </c>
      <c r="I128" s="64">
        <f>'Arbeidsark-K'!AA129*Vekting!$H$3</f>
        <v>2.6326664112206517</v>
      </c>
      <c r="J128" s="64">
        <f>'Arbeidsark-K'!AB129*Vekting!$I$3</f>
        <v>0.98285572445796276</v>
      </c>
      <c r="K128" s="64">
        <f>'Arbeidsark-K'!AC129*Vekting!$J$3</f>
        <v>1.8627124291902704</v>
      </c>
      <c r="L128" s="63">
        <f t="shared" si="1"/>
        <v>35.700282870444752</v>
      </c>
      <c r="M128" s="65" t="s">
        <v>574</v>
      </c>
    </row>
    <row r="129" spans="1:13" x14ac:dyDescent="0.25">
      <c r="A129" s="66" t="s">
        <v>124</v>
      </c>
      <c r="B129" s="66">
        <v>128</v>
      </c>
      <c r="C129" s="64">
        <f>'Arbeidsark-K'!U130*Vekting!$B$3</f>
        <v>12</v>
      </c>
      <c r="D129" s="64">
        <f>'Arbeidsark-K'!V130*Vekting!$C$3</f>
        <v>7.3987458725879254</v>
      </c>
      <c r="E129" s="64">
        <f>'Arbeidsark-K'!W130*Vekting!$D$3</f>
        <v>1.6803253432566139</v>
      </c>
      <c r="F129" s="64">
        <f>'Arbeidsark-K'!X130*Vekting!$E$3</f>
        <v>19.705789705779704</v>
      </c>
      <c r="G129" s="64">
        <f>'Arbeidsark-K'!Y130*Vekting!$F$3</f>
        <v>5</v>
      </c>
      <c r="H129" s="64">
        <f>'Arbeidsark-K'!Z130*Vekting!$G$3</f>
        <v>3.7345444212335397</v>
      </c>
      <c r="I129" s="64">
        <f>'Arbeidsark-K'!AA130*Vekting!$H$3</f>
        <v>6.7665769041751709</v>
      </c>
      <c r="J129" s="64">
        <f>'Arbeidsark-K'!AB130*Vekting!$I$3</f>
        <v>0</v>
      </c>
      <c r="K129" s="64">
        <f>'Arbeidsark-K'!AC130*Vekting!$J$3</f>
        <v>2.1403976452293678</v>
      </c>
      <c r="L129" s="63">
        <f t="shared" si="1"/>
        <v>58.426379892262318</v>
      </c>
      <c r="M129" s="65" t="s">
        <v>575</v>
      </c>
    </row>
    <row r="130" spans="1:13" x14ac:dyDescent="0.25">
      <c r="A130" s="66" t="s">
        <v>125</v>
      </c>
      <c r="B130" s="66">
        <v>129</v>
      </c>
      <c r="C130" s="64">
        <f>'Arbeidsark-K'!U131*Vekting!$B$3</f>
        <v>12</v>
      </c>
      <c r="D130" s="64">
        <f>'Arbeidsark-K'!V131*Vekting!$C$3</f>
        <v>7.5367470102558416</v>
      </c>
      <c r="E130" s="64">
        <f>'Arbeidsark-K'!W131*Vekting!$D$3</f>
        <v>0.9076915175700947</v>
      </c>
      <c r="F130" s="64">
        <f>'Arbeidsark-K'!X131*Vekting!$E$3</f>
        <v>5.2214727941089993</v>
      </c>
      <c r="G130" s="64">
        <f>'Arbeidsark-K'!Y131*Vekting!$F$3</f>
        <v>1.8441977724156009</v>
      </c>
      <c r="H130" s="64">
        <f>'Arbeidsark-K'!Z131*Vekting!$G$3</f>
        <v>2.4277730378238322</v>
      </c>
      <c r="I130" s="64">
        <f>'Arbeidsark-K'!AA131*Vekting!$H$3</f>
        <v>2.3691718469774515E-2</v>
      </c>
      <c r="J130" s="64">
        <f>'Arbeidsark-K'!AB131*Vekting!$I$3</f>
        <v>1.7198447405373543</v>
      </c>
      <c r="K130" s="64">
        <f>'Arbeidsark-K'!AC131*Vekting!$J$3</f>
        <v>1.8849272464733973</v>
      </c>
      <c r="L130" s="63">
        <f t="shared" ref="L130:L193" si="2">SUM(C130:K130)</f>
        <v>33.566345837654893</v>
      </c>
      <c r="M130" s="65" t="s">
        <v>576</v>
      </c>
    </row>
    <row r="131" spans="1:13" x14ac:dyDescent="0.25">
      <c r="A131" s="66" t="s">
        <v>126</v>
      </c>
      <c r="B131" s="66">
        <v>130</v>
      </c>
      <c r="C131" s="64">
        <f>'Arbeidsark-K'!U132*Vekting!$B$3</f>
        <v>4</v>
      </c>
      <c r="D131" s="64">
        <f>'Arbeidsark-K'!V132*Vekting!$C$3</f>
        <v>6.4603381364461017</v>
      </c>
      <c r="E131" s="64">
        <f>'Arbeidsark-K'!W132*Vekting!$D$3</f>
        <v>0.12197015401546595</v>
      </c>
      <c r="F131" s="64">
        <f>'Arbeidsark-K'!X132*Vekting!$E$3</f>
        <v>1.5161950189257454</v>
      </c>
      <c r="G131" s="64">
        <f>'Arbeidsark-K'!Y132*Vekting!$F$3</f>
        <v>0.49364011526883617</v>
      </c>
      <c r="H131" s="64">
        <f>'Arbeidsark-K'!Z132*Vekting!$G$3</f>
        <v>1.4781989838474907</v>
      </c>
      <c r="I131" s="64">
        <f>'Arbeidsark-K'!AA132*Vekting!$H$3</f>
        <v>0.767517052154426</v>
      </c>
      <c r="J131" s="64">
        <f>'Arbeidsark-K'!AB132*Vekting!$I$3</f>
        <v>5.8745526541822448</v>
      </c>
      <c r="K131" s="64">
        <f>'Arbeidsark-K'!AC132*Vekting!$J$3</f>
        <v>2.9956681106297909</v>
      </c>
      <c r="L131" s="63">
        <f t="shared" si="2"/>
        <v>23.708080225470102</v>
      </c>
      <c r="M131" s="65" t="s">
        <v>577</v>
      </c>
    </row>
    <row r="132" spans="1:13" x14ac:dyDescent="0.25">
      <c r="A132" s="66" t="s">
        <v>127</v>
      </c>
      <c r="B132" s="66">
        <v>131</v>
      </c>
      <c r="C132" s="64">
        <f>'Arbeidsark-K'!U133*Vekting!$B$3</f>
        <v>12</v>
      </c>
      <c r="D132" s="64">
        <f>'Arbeidsark-K'!V133*Vekting!$C$3</f>
        <v>7.6747481479237569</v>
      </c>
      <c r="E132" s="64">
        <f>'Arbeidsark-K'!W133*Vekting!$D$3</f>
        <v>5.7160271624148606E-2</v>
      </c>
      <c r="F132" s="64">
        <f>'Arbeidsark-K'!X133*Vekting!$E$3</f>
        <v>3.3141464202235653</v>
      </c>
      <c r="G132" s="64">
        <f>'Arbeidsark-K'!Y133*Vekting!$F$3</f>
        <v>0.39484241029037792</v>
      </c>
      <c r="H132" s="64">
        <f>'Arbeidsark-K'!Z133*Vekting!$G$3</f>
        <v>0.75461836559426843</v>
      </c>
      <c r="I132" s="64">
        <f>'Arbeidsark-K'!AA133*Vekting!$H$3</f>
        <v>9.9030674577987146</v>
      </c>
      <c r="J132" s="64">
        <f>'Arbeidsark-K'!AB133*Vekting!$I$3</f>
        <v>7.0731100846344788</v>
      </c>
      <c r="K132" s="64">
        <f>'Arbeidsark-K'!AC133*Vekting!$J$3</f>
        <v>3.3177829612351446</v>
      </c>
      <c r="L132" s="63">
        <f t="shared" si="2"/>
        <v>44.489476119324458</v>
      </c>
      <c r="M132" s="65" t="s">
        <v>578</v>
      </c>
    </row>
    <row r="133" spans="1:13" x14ac:dyDescent="0.25">
      <c r="A133" s="66" t="s">
        <v>128</v>
      </c>
      <c r="B133" s="66">
        <v>132</v>
      </c>
      <c r="C133" s="64">
        <f>'Arbeidsark-K'!U134*Vekting!$B$3</f>
        <v>2</v>
      </c>
      <c r="D133" s="64">
        <f>'Arbeidsark-K'!V134*Vekting!$C$3</f>
        <v>6.5101531812628126</v>
      </c>
      <c r="E133" s="64">
        <f>'Arbeidsark-K'!W134*Vekting!$D$3</f>
        <v>0.21766406487404169</v>
      </c>
      <c r="F133" s="64">
        <f>'Arbeidsark-K'!X134*Vekting!$E$3</f>
        <v>6.0489544111715761</v>
      </c>
      <c r="G133" s="64">
        <f>'Arbeidsark-K'!Y134*Vekting!$F$3</f>
        <v>1.0700920777204865</v>
      </c>
      <c r="H133" s="64">
        <f>'Arbeidsark-K'!Z134*Vekting!$G$3</f>
        <v>1.6186815399559977</v>
      </c>
      <c r="I133" s="64">
        <f>'Arbeidsark-K'!AA134*Vekting!$H$3</f>
        <v>1.8428938065563116</v>
      </c>
      <c r="J133" s="64">
        <f>'Arbeidsark-K'!AB134*Vekting!$I$3</f>
        <v>7.3992512354261795</v>
      </c>
      <c r="K133" s="64">
        <f>'Arbeidsark-K'!AC134*Vekting!$J$3</f>
        <v>4.6506719982228146</v>
      </c>
      <c r="L133" s="63">
        <f t="shared" si="2"/>
        <v>31.358362315190224</v>
      </c>
      <c r="M133" s="65" t="s">
        <v>579</v>
      </c>
    </row>
    <row r="134" spans="1:13" x14ac:dyDescent="0.25">
      <c r="A134" s="66" t="s">
        <v>129</v>
      </c>
      <c r="B134" s="66">
        <v>133</v>
      </c>
      <c r="C134" s="64">
        <f>'Arbeidsark-K'!U135*Vekting!$B$3</f>
        <v>2</v>
      </c>
      <c r="D134" s="64">
        <f>'Arbeidsark-K'!V135*Vekting!$C$3</f>
        <v>5.9446851049650125</v>
      </c>
      <c r="E134" s="64">
        <f>'Arbeidsark-K'!W135*Vekting!$D$3</f>
        <v>0.16407685937346772</v>
      </c>
      <c r="F134" s="64">
        <f>'Arbeidsark-K'!X135*Vekting!$E$3</f>
        <v>1.3084755377115074</v>
      </c>
      <c r="G134" s="64">
        <f>'Arbeidsark-K'!Y135*Vekting!$F$3</f>
        <v>0</v>
      </c>
      <c r="H134" s="64">
        <f>'Arbeidsark-K'!Z135*Vekting!$G$3</f>
        <v>1.4497220542329881</v>
      </c>
      <c r="I134" s="64">
        <f>'Arbeidsark-K'!AA135*Vekting!$H$3</f>
        <v>1.7875060762893185</v>
      </c>
      <c r="J134" s="64">
        <f>'Arbeidsark-K'!AB135*Vekting!$I$3</f>
        <v>6.7731697080557982</v>
      </c>
      <c r="K134" s="64">
        <f>'Arbeidsark-K'!AC135*Vekting!$J$3</f>
        <v>2.4291902699100305</v>
      </c>
      <c r="L134" s="63">
        <f t="shared" si="2"/>
        <v>21.856825610538124</v>
      </c>
      <c r="M134" s="65" t="s">
        <v>580</v>
      </c>
    </row>
    <row r="135" spans="1:13" x14ac:dyDescent="0.25">
      <c r="A135" s="66" t="s">
        <v>130</v>
      </c>
      <c r="B135" s="66">
        <v>134</v>
      </c>
      <c r="C135" s="64">
        <f>'Arbeidsark-K'!U136*Vekting!$B$3</f>
        <v>0</v>
      </c>
      <c r="D135" s="64">
        <f>'Arbeidsark-K'!V136*Vekting!$C$3</f>
        <v>4.8783738753748764</v>
      </c>
      <c r="E135" s="64">
        <f>'Arbeidsark-K'!W136*Vekting!$D$3</f>
        <v>2.8707096107632425E-2</v>
      </c>
      <c r="F135" s="64">
        <f>'Arbeidsark-K'!X136*Vekting!$E$3</f>
        <v>11.026207929787441</v>
      </c>
      <c r="G135" s="64">
        <f>'Arbeidsark-K'!Y136*Vekting!$F$3</f>
        <v>1.3674411546018703</v>
      </c>
      <c r="H135" s="64">
        <f>'Arbeidsark-K'!Z136*Vekting!$G$3</f>
        <v>2.4917385121263225</v>
      </c>
      <c r="I135" s="64">
        <f>'Arbeidsark-K'!AA136*Vekting!$H$3</f>
        <v>7.9585801794319968</v>
      </c>
      <c r="J135" s="64">
        <f>'Arbeidsark-K'!AB136*Vekting!$I$3</f>
        <v>5.7695069588806822</v>
      </c>
      <c r="K135" s="64">
        <f>'Arbeidsark-K'!AC136*Vekting!$J$3</f>
        <v>2.6402310340997448</v>
      </c>
      <c r="L135" s="63">
        <f t="shared" si="2"/>
        <v>36.160786740410565</v>
      </c>
      <c r="M135" s="65" t="s">
        <v>581</v>
      </c>
    </row>
    <row r="136" spans="1:13" x14ac:dyDescent="0.25">
      <c r="A136" s="66" t="s">
        <v>131</v>
      </c>
      <c r="B136" s="66">
        <v>135</v>
      </c>
      <c r="C136" s="64">
        <f>'Arbeidsark-K'!U137*Vekting!$B$3</f>
        <v>0</v>
      </c>
      <c r="D136" s="64">
        <f>'Arbeidsark-K'!V137*Vekting!$C$3</f>
        <v>3.9790103635488516</v>
      </c>
      <c r="E136" s="64">
        <f>'Arbeidsark-K'!W137*Vekting!$D$3</f>
        <v>0</v>
      </c>
      <c r="F136" s="64">
        <f>'Arbeidsark-K'!X137*Vekting!$E$3</f>
        <v>1.9165031122928384</v>
      </c>
      <c r="G136" s="64">
        <f>'Arbeidsark-K'!Y137*Vekting!$F$3</f>
        <v>1.5419140916199829</v>
      </c>
      <c r="H136" s="64">
        <f>'Arbeidsark-K'!Z137*Vekting!$G$3</f>
        <v>2.2970242555017104</v>
      </c>
      <c r="I136" s="64">
        <f>'Arbeidsark-K'!AA137*Vekting!$H$3</f>
        <v>0</v>
      </c>
      <c r="J136" s="64">
        <f>'Arbeidsark-K'!AB137*Vekting!$I$3</f>
        <v>4.601386705410504</v>
      </c>
      <c r="K136" s="64">
        <f>'Arbeidsark-K'!AC137*Vekting!$J$3</f>
        <v>0.96301232922359226</v>
      </c>
      <c r="L136" s="63">
        <f t="shared" si="2"/>
        <v>15.298850857597479</v>
      </c>
      <c r="M136" s="65" t="s">
        <v>582</v>
      </c>
    </row>
    <row r="137" spans="1:13" x14ac:dyDescent="0.25">
      <c r="A137" s="66" t="s">
        <v>132</v>
      </c>
      <c r="B137" s="66">
        <v>136</v>
      </c>
      <c r="C137" s="64">
        <f>'Arbeidsark-K'!U138*Vekting!$B$3</f>
        <v>2</v>
      </c>
      <c r="D137" s="64">
        <f>'Arbeidsark-K'!V138*Vekting!$C$3</f>
        <v>4.7787437857414536</v>
      </c>
      <c r="E137" s="64">
        <f>'Arbeidsark-K'!W138*Vekting!$D$3</f>
        <v>7.5848345778975104E-2</v>
      </c>
      <c r="F137" s="64">
        <f>'Arbeidsark-K'!X138*Vekting!$E$3</f>
        <v>0</v>
      </c>
      <c r="G137" s="64">
        <f>'Arbeidsark-K'!Y138*Vekting!$F$3</f>
        <v>0</v>
      </c>
      <c r="H137" s="64">
        <f>'Arbeidsark-K'!Z138*Vekting!$G$3</f>
        <v>1.9102079445380555</v>
      </c>
      <c r="I137" s="64">
        <f>'Arbeidsark-K'!AA138*Vekting!$H$3</f>
        <v>0</v>
      </c>
      <c r="J137" s="64">
        <f>'Arbeidsark-K'!AB138*Vekting!$I$3</f>
        <v>8.8502433603491006</v>
      </c>
      <c r="K137" s="64">
        <f>'Arbeidsark-K'!AC138*Vekting!$J$3</f>
        <v>4.3285571476174614</v>
      </c>
      <c r="L137" s="63">
        <f t="shared" si="2"/>
        <v>21.943600584025049</v>
      </c>
      <c r="M137" s="65" t="s">
        <v>583</v>
      </c>
    </row>
    <row r="138" spans="1:13" x14ac:dyDescent="0.25">
      <c r="A138" s="66" t="s">
        <v>133</v>
      </c>
      <c r="B138" s="66">
        <v>137</v>
      </c>
      <c r="C138" s="64">
        <f>'Arbeidsark-K'!U139*Vekting!$B$3</f>
        <v>2</v>
      </c>
      <c r="D138" s="64">
        <f>'Arbeidsark-K'!V139*Vekting!$C$3</f>
        <v>5.0870585225800165</v>
      </c>
      <c r="E138" s="64">
        <f>'Arbeidsark-K'!W139*Vekting!$D$3</f>
        <v>0</v>
      </c>
      <c r="F138" s="64">
        <f>'Arbeidsark-K'!X139*Vekting!$E$3</f>
        <v>5.6799571118971306</v>
      </c>
      <c r="G138" s="64">
        <f>'Arbeidsark-K'!Y139*Vekting!$F$3</f>
        <v>2.8699302389248236</v>
      </c>
      <c r="H138" s="64">
        <f>'Arbeidsark-K'!Z139*Vekting!$G$3</f>
        <v>2.2582107584121078</v>
      </c>
      <c r="I138" s="64">
        <f>'Arbeidsark-K'!AA139*Vekting!$H$3</f>
        <v>6.1960061347661339</v>
      </c>
      <c r="J138" s="64">
        <f>'Arbeidsark-K'!AB139*Vekting!$I$3</f>
        <v>10</v>
      </c>
      <c r="K138" s="64">
        <f>'Arbeidsark-K'!AC139*Vekting!$J$3</f>
        <v>5.750305453737643</v>
      </c>
      <c r="L138" s="63">
        <f t="shared" si="2"/>
        <v>39.841468220317857</v>
      </c>
      <c r="M138" s="65" t="s">
        <v>584</v>
      </c>
    </row>
    <row r="139" spans="1:13" x14ac:dyDescent="0.25">
      <c r="A139" s="66" t="s">
        <v>134</v>
      </c>
      <c r="B139" s="66">
        <v>138</v>
      </c>
      <c r="C139" s="64">
        <f>'Arbeidsark-K'!U140*Vekting!$B$3</f>
        <v>12</v>
      </c>
      <c r="D139" s="64">
        <f>'Arbeidsark-K'!V140*Vekting!$C$3</f>
        <v>5.4775007657380215</v>
      </c>
      <c r="E139" s="64">
        <f>'Arbeidsark-K'!W140*Vekting!$D$3</f>
        <v>2.5859210761328728</v>
      </c>
      <c r="F139" s="64">
        <f>'Arbeidsark-K'!X140*Vekting!$E$3</f>
        <v>5.4874569004099669</v>
      </c>
      <c r="G139" s="64">
        <f>'Arbeidsark-K'!Y140*Vekting!$F$3</f>
        <v>1.225024135268874</v>
      </c>
      <c r="H139" s="64">
        <f>'Arbeidsark-K'!Z140*Vekting!$G$3</f>
        <v>1.5858022142541943</v>
      </c>
      <c r="I139" s="64">
        <f>'Arbeidsark-K'!AA140*Vekting!$H$3</f>
        <v>2.9896633936897135</v>
      </c>
      <c r="J139" s="64">
        <f>'Arbeidsark-K'!AB140*Vekting!$I$3</f>
        <v>0</v>
      </c>
      <c r="K139" s="64">
        <f>'Arbeidsark-K'!AC140*Vekting!$J$3</f>
        <v>3.6843274464067535</v>
      </c>
      <c r="L139" s="63">
        <f t="shared" si="2"/>
        <v>35.035695931900399</v>
      </c>
      <c r="M139" s="65" t="s">
        <v>585</v>
      </c>
    </row>
    <row r="140" spans="1:13" x14ac:dyDescent="0.25">
      <c r="A140" s="66" t="s">
        <v>135</v>
      </c>
      <c r="B140" s="66">
        <v>139</v>
      </c>
      <c r="C140" s="64">
        <f>'Arbeidsark-K'!U141*Vekting!$B$3</f>
        <v>14</v>
      </c>
      <c r="D140" s="64">
        <f>'Arbeidsark-K'!V141*Vekting!$C$3</f>
        <v>4.7531630870517914</v>
      </c>
      <c r="E140" s="64">
        <f>'Arbeidsark-K'!W141*Vekting!$D$3</f>
        <v>5.4781891936948908</v>
      </c>
      <c r="F140" s="64">
        <f>'Arbeidsark-K'!X141*Vekting!$E$3</f>
        <v>18.615888451895731</v>
      </c>
      <c r="G140" s="64">
        <f>'Arbeidsark-K'!Y141*Vekting!$F$3</f>
        <v>5</v>
      </c>
      <c r="H140" s="64">
        <f>'Arbeidsark-K'!Z141*Vekting!$G$3</f>
        <v>4.5394708731197637</v>
      </c>
      <c r="I140" s="64">
        <f>'Arbeidsark-K'!AA141*Vekting!$H$3</f>
        <v>5.7571144997852324</v>
      </c>
      <c r="J140" s="64">
        <f>'Arbeidsark-K'!AB141*Vekting!$I$3</f>
        <v>0</v>
      </c>
      <c r="K140" s="64">
        <f>'Arbeidsark-K'!AC141*Vekting!$J$3</f>
        <v>7.1387315339331341</v>
      </c>
      <c r="L140" s="63">
        <f t="shared" si="2"/>
        <v>65.282557639480544</v>
      </c>
      <c r="M140" s="65" t="s">
        <v>586</v>
      </c>
    </row>
    <row r="141" spans="1:13" x14ac:dyDescent="0.25">
      <c r="A141" s="66" t="s">
        <v>136</v>
      </c>
      <c r="B141" s="66">
        <v>140</v>
      </c>
      <c r="C141" s="64">
        <f>'Arbeidsark-K'!U142*Vekting!$B$3</f>
        <v>14</v>
      </c>
      <c r="D141" s="64">
        <f>'Arbeidsark-K'!V142*Vekting!$C$3</f>
        <v>4.6279522987287072</v>
      </c>
      <c r="E141" s="64">
        <f>'Arbeidsark-K'!W142*Vekting!$D$3</f>
        <v>10</v>
      </c>
      <c r="F141" s="64">
        <f>'Arbeidsark-K'!X142*Vekting!$E$3</f>
        <v>14.417240854084239</v>
      </c>
      <c r="G141" s="64">
        <f>'Arbeidsark-K'!Y142*Vekting!$F$3</f>
        <v>3.5400451171773781</v>
      </c>
      <c r="H141" s="64">
        <f>'Arbeidsark-K'!Z142*Vekting!$G$3</f>
        <v>3.7358852727054734</v>
      </c>
      <c r="I141" s="64">
        <f>'Arbeidsark-K'!AA142*Vekting!$H$3</f>
        <v>5.1075681860684803</v>
      </c>
      <c r="J141" s="64">
        <f>'Arbeidsark-K'!AB142*Vekting!$I$3</f>
        <v>0</v>
      </c>
      <c r="K141" s="64">
        <f>'Arbeidsark-K'!AC142*Vekting!$J$3</f>
        <v>5.7947350883038986</v>
      </c>
      <c r="L141" s="63">
        <f t="shared" si="2"/>
        <v>61.223426817068173</v>
      </c>
      <c r="M141" s="65" t="s">
        <v>587</v>
      </c>
    </row>
    <row r="142" spans="1:13" x14ac:dyDescent="0.25">
      <c r="A142" s="66" t="s">
        <v>137</v>
      </c>
      <c r="B142" s="66">
        <v>141</v>
      </c>
      <c r="C142" s="64">
        <f>'Arbeidsark-K'!U143*Vekting!$B$3</f>
        <v>12</v>
      </c>
      <c r="D142" s="64">
        <f>'Arbeidsark-K'!V143*Vekting!$C$3</f>
        <v>6.0375834317853654</v>
      </c>
      <c r="E142" s="64">
        <f>'Arbeidsark-K'!W143*Vekting!$D$3</f>
        <v>0.48812352069860909</v>
      </c>
      <c r="F142" s="64">
        <f>'Arbeidsark-K'!X143*Vekting!$E$3</f>
        <v>4.6291670109879561</v>
      </c>
      <c r="G142" s="64">
        <f>'Arbeidsark-K'!Y143*Vekting!$F$3</f>
        <v>2.0627167374063524</v>
      </c>
      <c r="H142" s="64">
        <f>'Arbeidsark-K'!Z143*Vekting!$G$3</f>
        <v>2.2343984777685839</v>
      </c>
      <c r="I142" s="64">
        <f>'Arbeidsark-K'!AA143*Vekting!$H$3</f>
        <v>0.53301800531147447</v>
      </c>
      <c r="J142" s="64">
        <f>'Arbeidsark-K'!AB143*Vekting!$I$3</f>
        <v>0</v>
      </c>
      <c r="K142" s="64">
        <f>'Arbeidsark-K'!AC143*Vekting!$J$3</f>
        <v>0.37431967122070375</v>
      </c>
      <c r="L142" s="63">
        <f t="shared" si="2"/>
        <v>28.359326855179042</v>
      </c>
      <c r="M142" s="65" t="s">
        <v>588</v>
      </c>
    </row>
    <row r="143" spans="1:13" x14ac:dyDescent="0.25">
      <c r="A143" s="66" t="s">
        <v>138</v>
      </c>
      <c r="B143" s="66">
        <v>142</v>
      </c>
      <c r="C143" s="64">
        <f>'Arbeidsark-K'!U144*Vekting!$B$3</f>
        <v>14</v>
      </c>
      <c r="D143" s="64">
        <f>'Arbeidsark-K'!V144*Vekting!$C$3</f>
        <v>5.6942635283188441</v>
      </c>
      <c r="E143" s="64">
        <f>'Arbeidsark-K'!W144*Vekting!$D$3</f>
        <v>0.3480940361357398</v>
      </c>
      <c r="F143" s="64">
        <f>'Arbeidsark-K'!X144*Vekting!$E$3</f>
        <v>15.790647865594938</v>
      </c>
      <c r="G143" s="64">
        <f>'Arbeidsark-K'!Y144*Vekting!$F$3</f>
        <v>2.8757589935546712</v>
      </c>
      <c r="H143" s="64">
        <f>'Arbeidsark-K'!Z144*Vekting!$G$3</f>
        <v>3.7233450754216224</v>
      </c>
      <c r="I143" s="64">
        <f>'Arbeidsark-K'!AA144*Vekting!$H$3</f>
        <v>0.97587849236542468</v>
      </c>
      <c r="J143" s="64">
        <f>'Arbeidsark-K'!AB144*Vekting!$I$3</f>
        <v>0</v>
      </c>
      <c r="K143" s="64">
        <f>'Arbeidsark-K'!AC144*Vekting!$J$3</f>
        <v>0.37431967122070375</v>
      </c>
      <c r="L143" s="63">
        <f t="shared" si="2"/>
        <v>43.782307662611942</v>
      </c>
      <c r="M143" s="65" t="s">
        <v>589</v>
      </c>
    </row>
    <row r="144" spans="1:13" x14ac:dyDescent="0.25">
      <c r="A144" s="66" t="s">
        <v>139</v>
      </c>
      <c r="B144" s="66">
        <v>143</v>
      </c>
      <c r="C144" s="64">
        <f>'Arbeidsark-K'!U145*Vekting!$B$3</f>
        <v>14</v>
      </c>
      <c r="D144" s="64">
        <f>'Arbeidsark-K'!V145*Vekting!$C$3</f>
        <v>5.4101831376073299</v>
      </c>
      <c r="E144" s="64">
        <f>'Arbeidsark-K'!W145*Vekting!$D$3</f>
        <v>2.0042913924637999</v>
      </c>
      <c r="F144" s="64">
        <f>'Arbeidsark-K'!X145*Vekting!$E$3</f>
        <v>8.0865159603433003</v>
      </c>
      <c r="G144" s="64">
        <f>'Arbeidsark-K'!Y145*Vekting!$F$3</f>
        <v>2.6826399637182581</v>
      </c>
      <c r="H144" s="64">
        <f>'Arbeidsark-K'!Z145*Vekting!$G$3</f>
        <v>2.2599545432030292</v>
      </c>
      <c r="I144" s="64">
        <f>'Arbeidsark-K'!AA145*Vekting!$H$3</f>
        <v>1.988583820980135</v>
      </c>
      <c r="J144" s="64">
        <f>'Arbeidsark-K'!AB145*Vekting!$I$3</f>
        <v>0</v>
      </c>
      <c r="K144" s="64">
        <f>'Arbeidsark-K'!AC145*Vekting!$J$3</f>
        <v>3.5621459513495495</v>
      </c>
      <c r="L144" s="63">
        <f t="shared" si="2"/>
        <v>39.994314769665401</v>
      </c>
      <c r="M144" s="65" t="s">
        <v>590</v>
      </c>
    </row>
    <row r="145" spans="1:13" x14ac:dyDescent="0.25">
      <c r="A145" s="66" t="s">
        <v>140</v>
      </c>
      <c r="B145" s="66">
        <v>144</v>
      </c>
      <c r="C145" s="64">
        <f>'Arbeidsark-K'!U146*Vekting!$B$3</f>
        <v>14</v>
      </c>
      <c r="D145" s="64">
        <f>'Arbeidsark-K'!V146*Vekting!$C$3</f>
        <v>4.5148586834691473</v>
      </c>
      <c r="E145" s="64">
        <f>'Arbeidsark-K'!W146*Vekting!$D$3</f>
        <v>0.56779210413244674</v>
      </c>
      <c r="F145" s="64">
        <f>'Arbeidsark-K'!X146*Vekting!$E$3</f>
        <v>20</v>
      </c>
      <c r="G145" s="64">
        <f>'Arbeidsark-K'!Y146*Vekting!$F$3</f>
        <v>5</v>
      </c>
      <c r="H145" s="64">
        <f>'Arbeidsark-K'!Z146*Vekting!$G$3</f>
        <v>5</v>
      </c>
      <c r="I145" s="64">
        <f>'Arbeidsark-K'!AA146*Vekting!$H$3</f>
        <v>7.0668167677744229</v>
      </c>
      <c r="J145" s="64">
        <f>'Arbeidsark-K'!AB146*Vekting!$I$3</f>
        <v>0</v>
      </c>
      <c r="K145" s="64">
        <f>'Arbeidsark-K'!AC146*Vekting!$J$3</f>
        <v>3.1733866488948124</v>
      </c>
      <c r="L145" s="63">
        <f t="shared" si="2"/>
        <v>59.322854204270833</v>
      </c>
      <c r="M145" s="58" t="s">
        <v>591</v>
      </c>
    </row>
    <row r="146" spans="1:13" x14ac:dyDescent="0.25">
      <c r="A146" s="66" t="s">
        <v>141</v>
      </c>
      <c r="B146" s="66">
        <v>145</v>
      </c>
      <c r="C146" s="64">
        <f>'Arbeidsark-K'!U147*Vekting!$B$3</f>
        <v>18</v>
      </c>
      <c r="D146" s="64">
        <f>'Arbeidsark-K'!V147*Vekting!$C$3</f>
        <v>5.131488157146272</v>
      </c>
      <c r="E146" s="64">
        <f>'Arbeidsark-K'!W147*Vekting!$D$3</f>
        <v>4.0957303827291405</v>
      </c>
      <c r="F146" s="64">
        <f>'Arbeidsark-K'!X147*Vekting!$E$3</f>
        <v>19.764685017520108</v>
      </c>
      <c r="G146" s="64">
        <f>'Arbeidsark-K'!Y147*Vekting!$F$3</f>
        <v>3.4640431759953305</v>
      </c>
      <c r="H146" s="64">
        <f>'Arbeidsark-K'!Z147*Vekting!$G$3</f>
        <v>3.9804836199533966</v>
      </c>
      <c r="I146" s="64">
        <f>'Arbeidsark-K'!AA147*Vekting!$H$3</f>
        <v>10</v>
      </c>
      <c r="J146" s="64">
        <f>'Arbeidsark-K'!AB147*Vekting!$I$3</f>
        <v>2.4808972992705138</v>
      </c>
      <c r="K146" s="64">
        <f>'Arbeidsark-K'!AC147*Vekting!$J$3</f>
        <v>8.7604131956014673</v>
      </c>
      <c r="L146" s="63">
        <f t="shared" si="2"/>
        <v>75.677740848216217</v>
      </c>
      <c r="M146" s="58" t="s">
        <v>592</v>
      </c>
    </row>
    <row r="147" spans="1:13" x14ac:dyDescent="0.25">
      <c r="A147" s="66" t="s">
        <v>142</v>
      </c>
      <c r="B147" s="66">
        <v>146</v>
      </c>
      <c r="C147" s="64">
        <f>'Arbeidsark-K'!U148*Vekting!$B$3</f>
        <v>18</v>
      </c>
      <c r="D147" s="64">
        <f>'Arbeidsark-K'!V148*Vekting!$C$3</f>
        <v>5.2122693109031006</v>
      </c>
      <c r="E147" s="64">
        <f>'Arbeidsark-K'!W148*Vekting!$D$3</f>
        <v>0.47957874155956404</v>
      </c>
      <c r="F147" s="64">
        <f>'Arbeidsark-K'!X148*Vekting!$E$3</f>
        <v>19.678658279650662</v>
      </c>
      <c r="G147" s="64">
        <f>'Arbeidsark-K'!Y148*Vekting!$F$3</f>
        <v>4.9839745954804027</v>
      </c>
      <c r="H147" s="64">
        <f>'Arbeidsark-K'!Z148*Vekting!$G$3</f>
        <v>4.8208364300851141</v>
      </c>
      <c r="I147" s="64">
        <f>'Arbeidsark-K'!AA148*Vekting!$H$3</f>
        <v>5.9890222452709274</v>
      </c>
      <c r="J147" s="64">
        <f>'Arbeidsark-K'!AB148*Vekting!$I$3</f>
        <v>2.5888091164389411</v>
      </c>
      <c r="K147" s="64">
        <f>'Arbeidsark-K'!AC148*Vekting!$J$3</f>
        <v>1.8071753859824498</v>
      </c>
      <c r="L147" s="63">
        <f t="shared" si="2"/>
        <v>63.560324105371151</v>
      </c>
      <c r="M147" s="58" t="s">
        <v>593</v>
      </c>
    </row>
    <row r="148" spans="1:13" x14ac:dyDescent="0.25">
      <c r="A148" s="66" t="s">
        <v>143</v>
      </c>
      <c r="B148" s="66">
        <v>147</v>
      </c>
      <c r="C148" s="64">
        <f>'Arbeidsark-K'!U149*Vekting!$B$3</f>
        <v>14</v>
      </c>
      <c r="D148" s="64">
        <f>'Arbeidsark-K'!V149*Vekting!$C$3</f>
        <v>4.4286921194618634</v>
      </c>
      <c r="E148" s="64">
        <f>'Arbeidsark-K'!W149*Vekting!$D$3</f>
        <v>2.9525203580263337E-2</v>
      </c>
      <c r="F148" s="64">
        <f>'Arbeidsark-K'!X149*Vekting!$E$3</f>
        <v>6.6439346506742716</v>
      </c>
      <c r="G148" s="64">
        <f>'Arbeidsark-K'!Y149*Vekting!$F$3</f>
        <v>2.0005156323094004</v>
      </c>
      <c r="H148" s="64">
        <f>'Arbeidsark-K'!Z149*Vekting!$G$3</f>
        <v>2.5555231422532252</v>
      </c>
      <c r="I148" s="64">
        <f>'Arbeidsark-K'!AA149*Vekting!$H$3</f>
        <v>6.7251878328934227</v>
      </c>
      <c r="J148" s="64">
        <f>'Arbeidsark-K'!AB149*Vekting!$I$3</f>
        <v>0</v>
      </c>
      <c r="K148" s="64">
        <f>'Arbeidsark-K'!AC149*Vekting!$J$3</f>
        <v>3.040097745196046</v>
      </c>
      <c r="L148" s="63">
        <f t="shared" si="2"/>
        <v>39.423476326368494</v>
      </c>
      <c r="M148" s="58" t="s">
        <v>594</v>
      </c>
    </row>
    <row r="149" spans="1:13" x14ac:dyDescent="0.25">
      <c r="A149" s="66" t="s">
        <v>144</v>
      </c>
      <c r="B149" s="66">
        <v>148</v>
      </c>
      <c r="C149" s="64">
        <f>'Arbeidsark-K'!U150*Vekting!$B$3</f>
        <v>18</v>
      </c>
      <c r="D149" s="64">
        <f>'Arbeidsark-K'!V150*Vekting!$C$3</f>
        <v>4.5283222090952853</v>
      </c>
      <c r="E149" s="64">
        <f>'Arbeidsark-K'!W150*Vekting!$D$3</f>
        <v>0.28947219782081818</v>
      </c>
      <c r="F149" s="64">
        <f>'Arbeidsark-K'!X150*Vekting!$E$3</f>
        <v>15.620823526112957</v>
      </c>
      <c r="G149" s="64">
        <f>'Arbeidsark-K'!Y150*Vekting!$F$3</f>
        <v>4.7562916417916927</v>
      </c>
      <c r="H149" s="64">
        <f>'Arbeidsark-K'!Z150*Vekting!$G$3</f>
        <v>5</v>
      </c>
      <c r="I149" s="64">
        <f>'Arbeidsark-K'!AA150*Vekting!$H$3</f>
        <v>10</v>
      </c>
      <c r="J149" s="64">
        <f>'Arbeidsark-K'!AB150*Vekting!$I$3</f>
        <v>0.20940684126825745</v>
      </c>
      <c r="K149" s="64">
        <f>'Arbeidsark-K'!AC150*Vekting!$J$3</f>
        <v>1.2295901366211268</v>
      </c>
      <c r="L149" s="63">
        <f t="shared" si="2"/>
        <v>59.633906552710137</v>
      </c>
      <c r="M149" s="58" t="s">
        <v>595</v>
      </c>
    </row>
    <row r="150" spans="1:13" x14ac:dyDescent="0.25">
      <c r="A150" s="66" t="s">
        <v>145</v>
      </c>
      <c r="B150" s="66">
        <v>149</v>
      </c>
      <c r="C150" s="64">
        <f>'Arbeidsark-K'!U151*Vekting!$B$3</f>
        <v>12</v>
      </c>
      <c r="D150" s="64">
        <f>'Arbeidsark-K'!V151*Vekting!$C$3</f>
        <v>3.7662866586558703</v>
      </c>
      <c r="E150" s="64">
        <f>'Arbeidsark-K'!W151*Vekting!$D$3</f>
        <v>0.39670540528230025</v>
      </c>
      <c r="F150" s="64">
        <f>'Arbeidsark-K'!X151*Vekting!$E$3</f>
        <v>12.468574050861639</v>
      </c>
      <c r="G150" s="64">
        <f>'Arbeidsark-K'!Y151*Vekting!$F$3</f>
        <v>3.5826787626427676</v>
      </c>
      <c r="H150" s="64">
        <f>'Arbeidsark-K'!Z151*Vekting!$G$3</f>
        <v>3.0298653902936779</v>
      </c>
      <c r="I150" s="64">
        <f>'Arbeidsark-K'!AA151*Vekting!$H$3</f>
        <v>6.051638627097911</v>
      </c>
      <c r="J150" s="64">
        <f>'Arbeidsark-K'!AB151*Vekting!$I$3</f>
        <v>3.7999931510535583</v>
      </c>
      <c r="K150" s="64">
        <f>'Arbeidsark-K'!AC151*Vekting!$J$3</f>
        <v>1.7183161168499397</v>
      </c>
      <c r="L150" s="63">
        <f t="shared" si="2"/>
        <v>46.814058162737659</v>
      </c>
      <c r="M150" s="58" t="s">
        <v>596</v>
      </c>
    </row>
    <row r="151" spans="1:13" x14ac:dyDescent="0.25">
      <c r="A151" s="66" t="s">
        <v>146</v>
      </c>
      <c r="B151" s="66">
        <v>150</v>
      </c>
      <c r="C151" s="64">
        <f>'Arbeidsark-K'!U152*Vekting!$B$3</f>
        <v>12</v>
      </c>
      <c r="D151" s="64">
        <f>'Arbeidsark-K'!V152*Vekting!$C$3</f>
        <v>2.6366968586228849</v>
      </c>
      <c r="E151" s="64">
        <f>'Arbeidsark-K'!W152*Vekting!$D$3</f>
        <v>0</v>
      </c>
      <c r="F151" s="64">
        <f>'Arbeidsark-K'!X152*Vekting!$E$3</f>
        <v>0</v>
      </c>
      <c r="G151" s="64">
        <f>'Arbeidsark-K'!Y152*Vekting!$F$3</f>
        <v>1.1115425390377511</v>
      </c>
      <c r="H151" s="64">
        <f>'Arbeidsark-K'!Z152*Vekting!$G$3</f>
        <v>2.0061437605765011</v>
      </c>
      <c r="I151" s="64">
        <f>'Arbeidsark-K'!AA152*Vekting!$H$3</f>
        <v>1.9223167346630576</v>
      </c>
      <c r="J151" s="64">
        <f>'Arbeidsark-K'!AB152*Vekting!$I$3</f>
        <v>2.1423716941997215</v>
      </c>
      <c r="K151" s="64">
        <f>'Arbeidsark-K'!AC152*Vekting!$J$3</f>
        <v>1.0407641897145397</v>
      </c>
      <c r="L151" s="63">
        <f t="shared" si="2"/>
        <v>22.859835776814457</v>
      </c>
      <c r="M151" s="58" t="s">
        <v>597</v>
      </c>
    </row>
    <row r="152" spans="1:13" x14ac:dyDescent="0.25">
      <c r="A152" s="66" t="s">
        <v>147</v>
      </c>
      <c r="B152" s="66">
        <v>151</v>
      </c>
      <c r="C152" s="64">
        <f>'Arbeidsark-K'!U153*Vekting!$B$3</f>
        <v>0</v>
      </c>
      <c r="D152" s="64">
        <f>'Arbeidsark-K'!V153*Vekting!$C$3</f>
        <v>2.7578685892581278</v>
      </c>
      <c r="E152" s="64">
        <f>'Arbeidsark-K'!W153*Vekting!$D$3</f>
        <v>0</v>
      </c>
      <c r="F152" s="64">
        <f>'Arbeidsark-K'!X153*Vekting!$E$3</f>
        <v>0</v>
      </c>
      <c r="G152" s="64">
        <f>'Arbeidsark-K'!Y153*Vekting!$F$3</f>
        <v>1.4800389582601596</v>
      </c>
      <c r="H152" s="64">
        <f>'Arbeidsark-K'!Z153*Vekting!$G$3</f>
        <v>2.6791222159697945</v>
      </c>
      <c r="I152" s="64">
        <f>'Arbeidsark-K'!AA153*Vekting!$H$3</f>
        <v>6.7537477990768481E-3</v>
      </c>
      <c r="J152" s="64">
        <f>'Arbeidsark-K'!AB153*Vekting!$I$3</f>
        <v>8.9925308638738386</v>
      </c>
      <c r="K152" s="64">
        <f>'Arbeidsark-K'!AC153*Vekting!$J$3</f>
        <v>5.5170498722648009</v>
      </c>
      <c r="L152" s="63">
        <f t="shared" si="2"/>
        <v>21.4333642474258</v>
      </c>
      <c r="M152" s="58" t="s">
        <v>598</v>
      </c>
    </row>
    <row r="153" spans="1:13" x14ac:dyDescent="0.25">
      <c r="A153" s="66" t="s">
        <v>148</v>
      </c>
      <c r="B153" s="66">
        <v>152</v>
      </c>
      <c r="C153" s="64">
        <f>'Arbeidsark-K'!U154*Vekting!$B$3</f>
        <v>0</v>
      </c>
      <c r="D153" s="64">
        <f>'Arbeidsark-K'!V154*Vekting!$C$3</f>
        <v>2.8992356083325777</v>
      </c>
      <c r="E153" s="64">
        <f>'Arbeidsark-K'!W154*Vekting!$D$3</f>
        <v>0</v>
      </c>
      <c r="F153" s="64">
        <f>'Arbeidsark-K'!X154*Vekting!$E$3</f>
        <v>9.4735083218267278</v>
      </c>
      <c r="G153" s="64">
        <f>'Arbeidsark-K'!Y154*Vekting!$F$3</f>
        <v>5</v>
      </c>
      <c r="H153" s="64">
        <f>'Arbeidsark-K'!Z154*Vekting!$G$3</f>
        <v>5</v>
      </c>
      <c r="I153" s="64">
        <f>'Arbeidsark-K'!AA154*Vekting!$H$3</f>
        <v>10</v>
      </c>
      <c r="J153" s="64">
        <f>'Arbeidsark-K'!AB154*Vekting!$I$3</f>
        <v>10</v>
      </c>
      <c r="K153" s="64">
        <f>'Arbeidsark-K'!AC154*Vekting!$J$3</f>
        <v>8.9270243252249255</v>
      </c>
      <c r="L153" s="63">
        <f t="shared" si="2"/>
        <v>51.29976825538423</v>
      </c>
      <c r="M153" s="58" t="s">
        <v>599</v>
      </c>
    </row>
    <row r="154" spans="1:13" x14ac:dyDescent="0.25">
      <c r="A154" s="66" t="s">
        <v>149</v>
      </c>
      <c r="B154" s="66">
        <v>153</v>
      </c>
      <c r="C154" s="64">
        <f>'Arbeidsark-K'!U155*Vekting!$B$3</f>
        <v>18</v>
      </c>
      <c r="D154" s="64">
        <f>'Arbeidsark-K'!V155*Vekting!$C$3</f>
        <v>5.469422650362338</v>
      </c>
      <c r="E154" s="64">
        <f>'Arbeidsark-K'!W155*Vekting!$D$3</f>
        <v>10</v>
      </c>
      <c r="F154" s="64">
        <f>'Arbeidsark-K'!X155*Vekting!$E$3</f>
        <v>17.346486928772254</v>
      </c>
      <c r="G154" s="64">
        <f>'Arbeidsark-K'!Y155*Vekting!$F$3</f>
        <v>5</v>
      </c>
      <c r="H154" s="64">
        <f>'Arbeidsark-K'!Z155*Vekting!$G$3</f>
        <v>4.9084273256784456</v>
      </c>
      <c r="I154" s="64">
        <f>'Arbeidsark-K'!AA155*Vekting!$H$3</f>
        <v>6.6859411362883865</v>
      </c>
      <c r="J154" s="64">
        <f>'Arbeidsark-K'!AB155*Vekting!$I$3</f>
        <v>0</v>
      </c>
      <c r="K154" s="64">
        <f>'Arbeidsark-K'!AC155*Vekting!$J$3</f>
        <v>7.5608130623125618</v>
      </c>
      <c r="L154" s="63">
        <f t="shared" si="2"/>
        <v>74.971091103413997</v>
      </c>
      <c r="M154" s="58" t="s">
        <v>600</v>
      </c>
    </row>
    <row r="155" spans="1:13" x14ac:dyDescent="0.25">
      <c r="A155" s="66" t="s">
        <v>150</v>
      </c>
      <c r="B155" s="66">
        <v>154</v>
      </c>
      <c r="C155" s="64">
        <f>'Arbeidsark-K'!U156*Vekting!$B$3</f>
        <v>12</v>
      </c>
      <c r="D155" s="64">
        <f>'Arbeidsark-K'!V156*Vekting!$C$3</f>
        <v>3.9291953187321407</v>
      </c>
      <c r="E155" s="64">
        <f>'Arbeidsark-K'!W156*Vekting!$D$3</f>
        <v>5.1249529388875494</v>
      </c>
      <c r="F155" s="64">
        <f>'Arbeidsark-K'!X156*Vekting!$E$3</f>
        <v>13.191885515949133</v>
      </c>
      <c r="G155" s="64">
        <f>'Arbeidsark-K'!Y156*Vekting!$F$3</f>
        <v>3.4226828327514482</v>
      </c>
      <c r="H155" s="64">
        <f>'Arbeidsark-K'!Z156*Vekting!$G$3</f>
        <v>3.6482617995472904</v>
      </c>
      <c r="I155" s="64">
        <f>'Arbeidsark-K'!AA156*Vekting!$H$3</f>
        <v>5.2781714539804838</v>
      </c>
      <c r="J155" s="64">
        <f>'Arbeidsark-K'!AB156*Vekting!$I$3</f>
        <v>0.69226463551568296</v>
      </c>
      <c r="K155" s="64">
        <f>'Arbeidsark-K'!AC156*Vekting!$J$3</f>
        <v>5.217149838942575</v>
      </c>
      <c r="L155" s="63">
        <f t="shared" si="2"/>
        <v>52.504564334306309</v>
      </c>
      <c r="M155" s="58" t="s">
        <v>601</v>
      </c>
    </row>
    <row r="156" spans="1:13" x14ac:dyDescent="0.25">
      <c r="A156" s="66" t="s">
        <v>151</v>
      </c>
      <c r="B156" s="66">
        <v>155</v>
      </c>
      <c r="C156" s="64">
        <f>'Arbeidsark-K'!U157*Vekting!$B$3</f>
        <v>10</v>
      </c>
      <c r="D156" s="64">
        <f>'Arbeidsark-K'!V157*Vekting!$C$3</f>
        <v>2.2947233077189777</v>
      </c>
      <c r="E156" s="64">
        <f>'Arbeidsark-K'!W157*Vekting!$D$3</f>
        <v>2.6803217014661103</v>
      </c>
      <c r="F156" s="64">
        <f>'Arbeidsark-K'!X157*Vekting!$E$3</f>
        <v>8.2133268084755695</v>
      </c>
      <c r="G156" s="64">
        <f>'Arbeidsark-K'!Y157*Vekting!$F$3</f>
        <v>2.6848830434490214</v>
      </c>
      <c r="H156" s="64">
        <f>'Arbeidsark-K'!Z157*Vekting!$G$3</f>
        <v>2.7039781489922099</v>
      </c>
      <c r="I156" s="64">
        <f>'Arbeidsark-K'!AA157*Vekting!$H$3</f>
        <v>6.7730991270499921</v>
      </c>
      <c r="J156" s="64">
        <f>'Arbeidsark-K'!AB157*Vekting!$I$3</f>
        <v>5.3450499792640978</v>
      </c>
      <c r="K156" s="64">
        <f>'Arbeidsark-K'!AC157*Vekting!$J$3</f>
        <v>5.4948350549816736</v>
      </c>
      <c r="L156" s="63">
        <f t="shared" si="2"/>
        <v>46.190217171397649</v>
      </c>
      <c r="M156" s="58" t="s">
        <v>602</v>
      </c>
    </row>
    <row r="157" spans="1:13" x14ac:dyDescent="0.25">
      <c r="A157" s="66" t="s">
        <v>152</v>
      </c>
      <c r="B157" s="66">
        <v>156</v>
      </c>
      <c r="C157" s="64">
        <f>'Arbeidsark-K'!U158*Vekting!$B$3</f>
        <v>10</v>
      </c>
      <c r="D157" s="64">
        <f>'Arbeidsark-K'!V158*Vekting!$C$3</f>
        <v>1.7682994557369782</v>
      </c>
      <c r="E157" s="64">
        <f>'Arbeidsark-K'!W158*Vekting!$D$3</f>
        <v>1.1536265207656613</v>
      </c>
      <c r="F157" s="64">
        <f>'Arbeidsark-K'!X158*Vekting!$E$3</f>
        <v>6.9342627627703113</v>
      </c>
      <c r="G157" s="64">
        <f>'Arbeidsark-K'!Y158*Vekting!$F$3</f>
        <v>1.941853196185247</v>
      </c>
      <c r="H157" s="64">
        <f>'Arbeidsark-K'!Z158*Vekting!$G$3</f>
        <v>2.3219255980932254</v>
      </c>
      <c r="I157" s="64">
        <f>'Arbeidsark-K'!AA158*Vekting!$H$3</f>
        <v>4.4131051764326363</v>
      </c>
      <c r="J157" s="64">
        <f>'Arbeidsark-K'!AB158*Vekting!$I$3</f>
        <v>4.6328292552287635</v>
      </c>
      <c r="K157" s="64">
        <f>'Arbeidsark-K'!AC158*Vekting!$J$3</f>
        <v>6.3278907030989675</v>
      </c>
      <c r="L157" s="63">
        <f t="shared" si="2"/>
        <v>39.493792668311791</v>
      </c>
      <c r="M157" s="65" t="s">
        <v>603</v>
      </c>
    </row>
    <row r="158" spans="1:13" x14ac:dyDescent="0.25">
      <c r="A158" s="66" t="s">
        <v>153</v>
      </c>
      <c r="B158" s="66">
        <v>157</v>
      </c>
      <c r="C158" s="64">
        <f>'Arbeidsark-K'!U159*Vekting!$B$3</f>
        <v>18</v>
      </c>
      <c r="D158" s="64">
        <f>'Arbeidsark-K'!V159*Vekting!$C$3</f>
        <v>5.4842325285510896</v>
      </c>
      <c r="E158" s="64">
        <f>'Arbeidsark-K'!W159*Vekting!$D$3</f>
        <v>2.7035030556877402</v>
      </c>
      <c r="F158" s="64">
        <f>'Arbeidsark-K'!X159*Vekting!$E$3</f>
        <v>17.530054390357066</v>
      </c>
      <c r="G158" s="64">
        <f>'Arbeidsark-K'!Y159*Vekting!$F$3</f>
        <v>5</v>
      </c>
      <c r="H158" s="64">
        <f>'Arbeidsark-K'!Z159*Vekting!$G$3</f>
        <v>5</v>
      </c>
      <c r="I158" s="64">
        <f>'Arbeidsark-K'!AA159*Vekting!$H$3</f>
        <v>6.9569728558846711</v>
      </c>
      <c r="J158" s="64">
        <f>'Arbeidsark-K'!AB159*Vekting!$I$3</f>
        <v>0.28051833016389482</v>
      </c>
      <c r="K158" s="64">
        <f>'Arbeidsark-K'!AC159*Vekting!$J$3</f>
        <v>2.1959346884371884</v>
      </c>
      <c r="L158" s="63">
        <f t="shared" si="2"/>
        <v>63.151215849081652</v>
      </c>
      <c r="M158" s="65" t="s">
        <v>604</v>
      </c>
    </row>
    <row r="159" spans="1:13" x14ac:dyDescent="0.25">
      <c r="A159" s="66" t="s">
        <v>154</v>
      </c>
      <c r="B159" s="66">
        <v>158</v>
      </c>
      <c r="C159" s="64">
        <f>'Arbeidsark-K'!U160*Vekting!$B$3</f>
        <v>18</v>
      </c>
      <c r="D159" s="64">
        <f>'Arbeidsark-K'!V160*Vekting!$C$3</f>
        <v>4.9995456060101189</v>
      </c>
      <c r="E159" s="64">
        <f>'Arbeidsark-K'!W160*Vekting!$D$3</f>
        <v>2.1740880058535583</v>
      </c>
      <c r="F159" s="64">
        <f>'Arbeidsark-K'!X160*Vekting!$E$3</f>
        <v>18.448455609364053</v>
      </c>
      <c r="G159" s="64">
        <f>'Arbeidsark-K'!Y160*Vekting!$F$3</f>
        <v>5</v>
      </c>
      <c r="H159" s="64">
        <f>'Arbeidsark-K'!Z160*Vekting!$G$3</f>
        <v>5</v>
      </c>
      <c r="I159" s="64">
        <f>'Arbeidsark-K'!AA160*Vekting!$H$3</f>
        <v>10</v>
      </c>
      <c r="J159" s="64">
        <f>'Arbeidsark-K'!AB160*Vekting!$I$3</f>
        <v>0</v>
      </c>
      <c r="K159" s="64">
        <f>'Arbeidsark-K'!AC160*Vekting!$J$3</f>
        <v>2.4180828612684664</v>
      </c>
      <c r="L159" s="63">
        <f t="shared" si="2"/>
        <v>66.040172082496198</v>
      </c>
      <c r="M159" s="65" t="s">
        <v>605</v>
      </c>
    </row>
    <row r="160" spans="1:13" x14ac:dyDescent="0.25">
      <c r="A160" s="66" t="s">
        <v>155</v>
      </c>
      <c r="B160" s="66">
        <v>159</v>
      </c>
      <c r="C160" s="64">
        <f>'Arbeidsark-K'!U161*Vekting!$B$3</f>
        <v>18</v>
      </c>
      <c r="D160" s="64">
        <f>'Arbeidsark-K'!V161*Vekting!$C$3</f>
        <v>4.9335743304420419</v>
      </c>
      <c r="E160" s="64">
        <f>'Arbeidsark-K'!W161*Vekting!$D$3</f>
        <v>5.4828108895028054</v>
      </c>
      <c r="F160" s="64">
        <f>'Arbeidsark-K'!X161*Vekting!$E$3</f>
        <v>18.651601666569515</v>
      </c>
      <c r="G160" s="64">
        <f>'Arbeidsark-K'!Y161*Vekting!$F$3</f>
        <v>3.9785537727022486</v>
      </c>
      <c r="H160" s="64">
        <f>'Arbeidsark-K'!Z161*Vekting!$G$3</f>
        <v>4.8349602927465209</v>
      </c>
      <c r="I160" s="64">
        <f>'Arbeidsark-K'!AA161*Vekting!$H$3</f>
        <v>4.4168712290617327</v>
      </c>
      <c r="J160" s="64">
        <f>'Arbeidsark-K'!AB161*Vekting!$I$3</f>
        <v>2.2132604185786748</v>
      </c>
      <c r="K160" s="64">
        <f>'Arbeidsark-K'!AC161*Vekting!$J$3</f>
        <v>7.3053426635565932</v>
      </c>
      <c r="L160" s="63">
        <f t="shared" si="2"/>
        <v>69.816975263160131</v>
      </c>
      <c r="M160" s="65" t="s">
        <v>606</v>
      </c>
    </row>
    <row r="161" spans="1:13" x14ac:dyDescent="0.25">
      <c r="A161" s="66" t="s">
        <v>156</v>
      </c>
      <c r="B161" s="66">
        <v>160</v>
      </c>
      <c r="C161" s="64">
        <f>'Arbeidsark-K'!U162*Vekting!$B$3</f>
        <v>12</v>
      </c>
      <c r="D161" s="64">
        <f>'Arbeidsark-K'!V162*Vekting!$C$3</f>
        <v>3.948044254608734</v>
      </c>
      <c r="E161" s="64">
        <f>'Arbeidsark-K'!W162*Vekting!$D$3</f>
        <v>0.34283911208135298</v>
      </c>
      <c r="F161" s="64">
        <f>'Arbeidsark-K'!X162*Vekting!$E$3</f>
        <v>11.198481371770887</v>
      </c>
      <c r="G161" s="64">
        <f>'Arbeidsark-K'!Y162*Vekting!$F$3</f>
        <v>3.5680078911261961</v>
      </c>
      <c r="H161" s="64">
        <f>'Arbeidsark-K'!Z162*Vekting!$G$3</f>
        <v>4.3672528015325609</v>
      </c>
      <c r="I161" s="64">
        <f>'Arbeidsark-K'!AA162*Vekting!$H$3</f>
        <v>0</v>
      </c>
      <c r="J161" s="64">
        <f>'Arbeidsark-K'!AB162*Vekting!$I$3</f>
        <v>1.5755943367621712</v>
      </c>
      <c r="K161" s="64">
        <f>'Arbeidsark-K'!AC162*Vekting!$J$3</f>
        <v>2.6180162168166166</v>
      </c>
      <c r="L161" s="63">
        <f t="shared" si="2"/>
        <v>39.618235984698515</v>
      </c>
      <c r="M161" s="65" t="s">
        <v>607</v>
      </c>
    </row>
    <row r="162" spans="1:13" x14ac:dyDescent="0.25">
      <c r="A162" s="66" t="s">
        <v>157</v>
      </c>
      <c r="B162" s="66">
        <v>161</v>
      </c>
      <c r="C162" s="64">
        <f>'Arbeidsark-K'!U163*Vekting!$B$3</f>
        <v>12</v>
      </c>
      <c r="D162" s="64">
        <f>'Arbeidsark-K'!V163*Vekting!$C$3</f>
        <v>2.9234699544596263</v>
      </c>
      <c r="E162" s="64">
        <f>'Arbeidsark-K'!W163*Vekting!$D$3</f>
        <v>0</v>
      </c>
      <c r="F162" s="64">
        <f>'Arbeidsark-K'!X163*Vekting!$E$3</f>
        <v>8.9427717024524807</v>
      </c>
      <c r="G162" s="64">
        <f>'Arbeidsark-K'!Y163*Vekting!$F$3</f>
        <v>2.3605472594398171</v>
      </c>
      <c r="H162" s="64">
        <f>'Arbeidsark-K'!Z163*Vekting!$G$3</f>
        <v>4.5458804334070324</v>
      </c>
      <c r="I162" s="64">
        <f>'Arbeidsark-K'!AA163*Vekting!$H$3</f>
        <v>9.6390433557246951</v>
      </c>
      <c r="J162" s="64">
        <f>'Arbeidsark-K'!AB163*Vekting!$I$3</f>
        <v>8.704092558699049</v>
      </c>
      <c r="K162" s="64">
        <f>'Arbeidsark-K'!AC163*Vekting!$J$3</f>
        <v>2.0626457847384203</v>
      </c>
      <c r="L162" s="63">
        <f t="shared" si="2"/>
        <v>51.178451048921119</v>
      </c>
      <c r="M162" s="65" t="s">
        <v>608</v>
      </c>
    </row>
    <row r="163" spans="1:13" x14ac:dyDescent="0.25">
      <c r="A163" s="66" t="s">
        <v>158</v>
      </c>
      <c r="B163" s="66">
        <v>162</v>
      </c>
      <c r="C163" s="64">
        <f>'Arbeidsark-K'!U164*Vekting!$B$3</f>
        <v>12</v>
      </c>
      <c r="D163" s="64">
        <f>'Arbeidsark-K'!V164*Vekting!$C$3</f>
        <v>3.6545393959589241</v>
      </c>
      <c r="E163" s="64">
        <f>'Arbeidsark-K'!W164*Vekting!$D$3</f>
        <v>0.43032806991268874</v>
      </c>
      <c r="F163" s="64">
        <f>'Arbeidsark-K'!X164*Vekting!$E$3</f>
        <v>13.880394851683992</v>
      </c>
      <c r="G163" s="64">
        <f>'Arbeidsark-K'!Y164*Vekting!$F$3</f>
        <v>3.4641480504856887</v>
      </c>
      <c r="H163" s="64">
        <f>'Arbeidsark-K'!Z164*Vekting!$G$3</f>
        <v>4.0532408670738738</v>
      </c>
      <c r="I163" s="64">
        <f>'Arbeidsark-K'!AA164*Vekting!$H$3</f>
        <v>3.5806063912562935</v>
      </c>
      <c r="J163" s="64">
        <f>'Arbeidsark-K'!AB164*Vekting!$I$3</f>
        <v>7.8175360801307363</v>
      </c>
      <c r="K163" s="64">
        <f>'Arbeidsark-K'!AC164*Vekting!$J$3</f>
        <v>3.5732533599911136</v>
      </c>
      <c r="L163" s="63">
        <f t="shared" si="2"/>
        <v>52.454047066493317</v>
      </c>
      <c r="M163" s="65" t="s">
        <v>609</v>
      </c>
    </row>
    <row r="164" spans="1:13" x14ac:dyDescent="0.25">
      <c r="A164" s="66" t="s">
        <v>159</v>
      </c>
      <c r="B164" s="66">
        <v>163</v>
      </c>
      <c r="C164" s="64">
        <f>'Arbeidsark-K'!U165*Vekting!$B$3</f>
        <v>12</v>
      </c>
      <c r="D164" s="64">
        <f>'Arbeidsark-K'!V165*Vekting!$C$3</f>
        <v>3.6370368126449444</v>
      </c>
      <c r="E164" s="64">
        <f>'Arbeidsark-K'!W165*Vekting!$D$3</f>
        <v>1.0729311475730696</v>
      </c>
      <c r="F164" s="64">
        <f>'Arbeidsark-K'!X165*Vekting!$E$3</f>
        <v>12.893892225612312</v>
      </c>
      <c r="G164" s="64">
        <f>'Arbeidsark-K'!Y165*Vekting!$F$3</f>
        <v>3.7328358591805597</v>
      </c>
      <c r="H164" s="64">
        <f>'Arbeidsark-K'!Z165*Vekting!$G$3</f>
        <v>3.2359251742593131</v>
      </c>
      <c r="I164" s="64">
        <f>'Arbeidsark-K'!AA165*Vekting!$H$3</f>
        <v>3.3701861224136209</v>
      </c>
      <c r="J164" s="64">
        <f>'Arbeidsark-K'!AB165*Vekting!$I$3</f>
        <v>2.6253994492844273</v>
      </c>
      <c r="K164" s="64">
        <f>'Arbeidsark-K'!AC165*Vekting!$J$3</f>
        <v>4.1286237920693107</v>
      </c>
      <c r="L164" s="63">
        <f t="shared" si="2"/>
        <v>46.69683058303756</v>
      </c>
      <c r="M164" s="65" t="s">
        <v>610</v>
      </c>
    </row>
    <row r="165" spans="1:13" x14ac:dyDescent="0.25">
      <c r="A165" s="66" t="s">
        <v>160</v>
      </c>
      <c r="B165" s="66">
        <v>164</v>
      </c>
      <c r="C165" s="64">
        <f>'Arbeidsark-K'!U166*Vekting!$B$3</f>
        <v>12</v>
      </c>
      <c r="D165" s="64">
        <f>'Arbeidsark-K'!V166*Vekting!$C$3</f>
        <v>2.912699133958716</v>
      </c>
      <c r="E165" s="64">
        <f>'Arbeidsark-K'!W166*Vekting!$D$3</f>
        <v>1.5434692602821514</v>
      </c>
      <c r="F165" s="64">
        <f>'Arbeidsark-K'!X166*Vekting!$E$3</f>
        <v>18.963349582238664</v>
      </c>
      <c r="G165" s="64">
        <f>'Arbeidsark-K'!Y166*Vekting!$F$3</f>
        <v>3.8259418806066097</v>
      </c>
      <c r="H165" s="64">
        <f>'Arbeidsark-K'!Z166*Vekting!$G$3</f>
        <v>4.61812787870518</v>
      </c>
      <c r="I165" s="64">
        <f>'Arbeidsark-K'!AA166*Vekting!$H$3</f>
        <v>8.0357058710224241</v>
      </c>
      <c r="J165" s="64">
        <f>'Arbeidsark-K'!AB166*Vekting!$I$3</f>
        <v>3.6988325206214023</v>
      </c>
      <c r="K165" s="64">
        <f>'Arbeidsark-K'!AC166*Vekting!$J$3</f>
        <v>3.5954681772742418</v>
      </c>
      <c r="L165" s="63">
        <f t="shared" si="2"/>
        <v>59.193594304709386</v>
      </c>
      <c r="M165" s="65" t="s">
        <v>611</v>
      </c>
    </row>
    <row r="166" spans="1:13" x14ac:dyDescent="0.25">
      <c r="A166" s="66" t="s">
        <v>161</v>
      </c>
      <c r="B166" s="66">
        <v>165</v>
      </c>
      <c r="C166" s="64">
        <f>'Arbeidsark-K'!U167*Vekting!$B$3</f>
        <v>12</v>
      </c>
      <c r="D166" s="64">
        <f>'Arbeidsark-K'!V167*Vekting!$C$3</f>
        <v>3.1402327170404494</v>
      </c>
      <c r="E166" s="64">
        <f>'Arbeidsark-K'!W167*Vekting!$D$3</f>
        <v>0.18214456352610142</v>
      </c>
      <c r="F166" s="64">
        <f>'Arbeidsark-K'!X167*Vekting!$E$3</f>
        <v>10.247428603908901</v>
      </c>
      <c r="G166" s="64">
        <f>'Arbeidsark-K'!Y167*Vekting!$F$3</f>
        <v>3.5663612428189277</v>
      </c>
      <c r="H166" s="64">
        <f>'Arbeidsark-K'!Z167*Vekting!$G$3</f>
        <v>3.5045508273248127</v>
      </c>
      <c r="I166" s="64">
        <f>'Arbeidsark-K'!AA167*Vekting!$H$3</f>
        <v>9.951012458396697</v>
      </c>
      <c r="J166" s="64">
        <f>'Arbeidsark-K'!AB167*Vekting!$I$3</f>
        <v>10</v>
      </c>
      <c r="K166" s="64">
        <f>'Arbeidsark-K'!AC167*Vekting!$J$3</f>
        <v>5.0949683438853723</v>
      </c>
      <c r="L166" s="63">
        <f t="shared" si="2"/>
        <v>57.686698756901258</v>
      </c>
      <c r="M166" s="65" t="s">
        <v>612</v>
      </c>
    </row>
    <row r="167" spans="1:13" x14ac:dyDescent="0.25">
      <c r="A167" s="66" t="s">
        <v>162</v>
      </c>
      <c r="B167" s="66">
        <v>166</v>
      </c>
      <c r="C167" s="64">
        <f>'Arbeidsark-K'!U168*Vekting!$B$3</f>
        <v>10</v>
      </c>
      <c r="D167" s="64">
        <f>'Arbeidsark-K'!V168*Vekting!$C$3</f>
        <v>2.3970461024776273</v>
      </c>
      <c r="E167" s="64">
        <f>'Arbeidsark-K'!W168*Vekting!$D$3</f>
        <v>0.37050685491187352</v>
      </c>
      <c r="F167" s="64">
        <f>'Arbeidsark-K'!X168*Vekting!$E$3</f>
        <v>10.749369761101189</v>
      </c>
      <c r="G167" s="64">
        <f>'Arbeidsark-K'!Y168*Vekting!$F$3</f>
        <v>3.2989544517252654</v>
      </c>
      <c r="H167" s="64">
        <f>'Arbeidsark-K'!Z168*Vekting!$G$3</f>
        <v>3.6792716944631567</v>
      </c>
      <c r="I167" s="64">
        <f>'Arbeidsark-K'!AA168*Vekting!$H$3</f>
        <v>1.9183753840252067</v>
      </c>
      <c r="J167" s="64">
        <f>'Arbeidsark-K'!AB168*Vekting!$I$3</f>
        <v>2.5660694059465801</v>
      </c>
      <c r="K167" s="64">
        <f>'Arbeidsark-K'!AC168*Vekting!$J$3</f>
        <v>3.2067088748195047</v>
      </c>
      <c r="L167" s="63">
        <f t="shared" si="2"/>
        <v>38.186302529470403</v>
      </c>
      <c r="M167" s="65" t="s">
        <v>613</v>
      </c>
    </row>
    <row r="168" spans="1:13" x14ac:dyDescent="0.25">
      <c r="A168" s="66" t="s">
        <v>163</v>
      </c>
      <c r="B168" s="66">
        <v>167</v>
      </c>
      <c r="C168" s="64">
        <f>'Arbeidsark-K'!U169*Vekting!$B$3</f>
        <v>8</v>
      </c>
      <c r="D168" s="64">
        <f>'Arbeidsark-K'!V169*Vekting!$C$3</f>
        <v>2.1048875963904305</v>
      </c>
      <c r="E168" s="64">
        <f>'Arbeidsark-K'!W169*Vekting!$D$3</f>
        <v>0</v>
      </c>
      <c r="F168" s="64">
        <f>'Arbeidsark-K'!X169*Vekting!$E$3</f>
        <v>9.6081208087475609</v>
      </c>
      <c r="G168" s="64">
        <f>'Arbeidsark-K'!Y169*Vekting!$F$3</f>
        <v>4.1657291830179437</v>
      </c>
      <c r="H168" s="64">
        <f>'Arbeidsark-K'!Z169*Vekting!$G$3</f>
        <v>2.599204265136065</v>
      </c>
      <c r="I168" s="64">
        <f>'Arbeidsark-K'!AA169*Vekting!$H$3</f>
        <v>5.1754471376895124</v>
      </c>
      <c r="J168" s="64">
        <f>'Arbeidsark-K'!AB169*Vekting!$I$3</f>
        <v>8.69764909710951</v>
      </c>
      <c r="K168" s="64">
        <f>'Arbeidsark-K'!AC169*Vekting!$J$3</f>
        <v>10</v>
      </c>
      <c r="L168" s="63">
        <f t="shared" si="2"/>
        <v>50.351038088091023</v>
      </c>
      <c r="M168" s="65" t="s">
        <v>614</v>
      </c>
    </row>
    <row r="169" spans="1:13" x14ac:dyDescent="0.25">
      <c r="A169" s="66" t="s">
        <v>164</v>
      </c>
      <c r="B169" s="66">
        <v>168</v>
      </c>
      <c r="C169" s="64">
        <f>'Arbeidsark-K'!U170*Vekting!$B$3</f>
        <v>12</v>
      </c>
      <c r="D169" s="64">
        <f>'Arbeidsark-K'!V170*Vekting!$C$3</f>
        <v>3.2385164541112577</v>
      </c>
      <c r="E169" s="64">
        <f>'Arbeidsark-K'!W170*Vekting!$D$3</f>
        <v>2.474766132906943</v>
      </c>
      <c r="F169" s="64">
        <f>'Arbeidsark-K'!X170*Vekting!$E$3</f>
        <v>12.968458582112186</v>
      </c>
      <c r="G169" s="64">
        <f>'Arbeidsark-K'!Y170*Vekting!$F$3</f>
        <v>3.5662727066947322</v>
      </c>
      <c r="H169" s="64">
        <f>'Arbeidsark-K'!Z170*Vekting!$G$3</f>
        <v>4.2711311907081582</v>
      </c>
      <c r="I169" s="64">
        <f>'Arbeidsark-K'!AA170*Vekting!$H$3</f>
        <v>5.3377024417152885</v>
      </c>
      <c r="J169" s="64">
        <f>'Arbeidsark-K'!AB170*Vekting!$I$3</f>
        <v>3.549098399500362</v>
      </c>
      <c r="K169" s="64">
        <f>'Arbeidsark-K'!AC170*Vekting!$J$3</f>
        <v>9.6267910696434527</v>
      </c>
      <c r="L169" s="63">
        <f t="shared" si="2"/>
        <v>57.032736977392375</v>
      </c>
      <c r="M169" s="65" t="s">
        <v>615</v>
      </c>
    </row>
    <row r="170" spans="1:13" x14ac:dyDescent="0.25">
      <c r="A170" s="66" t="s">
        <v>165</v>
      </c>
      <c r="B170" s="66">
        <v>169</v>
      </c>
      <c r="C170" s="64">
        <f>'Arbeidsark-K'!U171*Vekting!$B$3</f>
        <v>18</v>
      </c>
      <c r="D170" s="64">
        <f>'Arbeidsark-K'!V171*Vekting!$C$3</f>
        <v>5.3401728043514121</v>
      </c>
      <c r="E170" s="64">
        <f>'Arbeidsark-K'!W171*Vekting!$D$3</f>
        <v>10</v>
      </c>
      <c r="F170" s="64">
        <f>'Arbeidsark-K'!X171*Vekting!$E$3</f>
        <v>20</v>
      </c>
      <c r="G170" s="64">
        <f>'Arbeidsark-K'!Y171*Vekting!$F$3</f>
        <v>5</v>
      </c>
      <c r="H170" s="64">
        <f>'Arbeidsark-K'!Z171*Vekting!$G$3</f>
        <v>5</v>
      </c>
      <c r="I170" s="64">
        <f>'Arbeidsark-K'!AA171*Vekting!$H$3</f>
        <v>8.8150626274672792</v>
      </c>
      <c r="J170" s="64">
        <f>'Arbeidsark-K'!AB171*Vekting!$I$3</f>
        <v>2.2736818631544495</v>
      </c>
      <c r="K170" s="64">
        <f>'Arbeidsark-K'!AC171*Vekting!$J$3</f>
        <v>10</v>
      </c>
      <c r="L170" s="63">
        <f t="shared" si="2"/>
        <v>84.428917294973147</v>
      </c>
      <c r="M170" s="65" t="s">
        <v>616</v>
      </c>
    </row>
    <row r="171" spans="1:13" x14ac:dyDescent="0.25">
      <c r="A171" s="66" t="s">
        <v>166</v>
      </c>
      <c r="B171" s="66">
        <v>170</v>
      </c>
      <c r="C171" s="64">
        <f>'Arbeidsark-K'!U172*Vekting!$B$3</f>
        <v>18</v>
      </c>
      <c r="D171" s="64">
        <f>'Arbeidsark-K'!V172*Vekting!$C$3</f>
        <v>5.3590217402280054</v>
      </c>
      <c r="E171" s="64">
        <f>'Arbeidsark-K'!W172*Vekting!$D$3</f>
        <v>10</v>
      </c>
      <c r="F171" s="64">
        <f>'Arbeidsark-K'!X172*Vekting!$E$3</f>
        <v>16.017621649106406</v>
      </c>
      <c r="G171" s="64">
        <f>'Arbeidsark-K'!Y172*Vekting!$F$3</f>
        <v>5</v>
      </c>
      <c r="H171" s="64">
        <f>'Arbeidsark-K'!Z172*Vekting!$G$3</f>
        <v>5</v>
      </c>
      <c r="I171" s="64">
        <f>'Arbeidsark-K'!AA172*Vekting!$H$3</f>
        <v>5.0611322328266066</v>
      </c>
      <c r="J171" s="64">
        <f>'Arbeidsark-K'!AB172*Vekting!$I$3</f>
        <v>0.24861352361193242</v>
      </c>
      <c r="K171" s="64">
        <f>'Arbeidsark-K'!AC172*Vekting!$J$3</f>
        <v>10</v>
      </c>
      <c r="L171" s="63">
        <f t="shared" si="2"/>
        <v>74.686389145772949</v>
      </c>
      <c r="M171" s="65" t="s">
        <v>617</v>
      </c>
    </row>
    <row r="172" spans="1:13" x14ac:dyDescent="0.25">
      <c r="A172" s="66" t="s">
        <v>167</v>
      </c>
      <c r="B172" s="66">
        <v>171</v>
      </c>
      <c r="C172" s="64">
        <f>'Arbeidsark-K'!U173*Vekting!$B$3</f>
        <v>14</v>
      </c>
      <c r="D172" s="64">
        <f>'Arbeidsark-K'!V173*Vekting!$C$3</f>
        <v>5.2863187018468603</v>
      </c>
      <c r="E172" s="64">
        <f>'Arbeidsark-K'!W173*Vekting!$D$3</f>
        <v>10</v>
      </c>
      <c r="F172" s="64">
        <f>'Arbeidsark-K'!X173*Vekting!$E$3</f>
        <v>17.667785986425706</v>
      </c>
      <c r="G172" s="64">
        <f>'Arbeidsark-K'!Y173*Vekting!$F$3</f>
        <v>5</v>
      </c>
      <c r="H172" s="64">
        <f>'Arbeidsark-K'!Z173*Vekting!$G$3</f>
        <v>4.7119347051939409</v>
      </c>
      <c r="I172" s="64">
        <f>'Arbeidsark-K'!AA173*Vekting!$H$3</f>
        <v>5.1893778606989676</v>
      </c>
      <c r="J172" s="64">
        <f>'Arbeidsark-K'!AB173*Vekting!$I$3</f>
        <v>0</v>
      </c>
      <c r="K172" s="64">
        <f>'Arbeidsark-K'!AC173*Vekting!$J$3</f>
        <v>8.0828612684660666</v>
      </c>
      <c r="L172" s="63">
        <f t="shared" si="2"/>
        <v>69.938278522631535</v>
      </c>
      <c r="M172" s="65" t="s">
        <v>618</v>
      </c>
    </row>
    <row r="173" spans="1:13" x14ac:dyDescent="0.25">
      <c r="A173" s="66" t="s">
        <v>168</v>
      </c>
      <c r="B173" s="66">
        <v>172</v>
      </c>
      <c r="C173" s="64">
        <f>'Arbeidsark-K'!U174*Vekting!$B$3</f>
        <v>12</v>
      </c>
      <c r="D173" s="64">
        <f>'Arbeidsark-K'!V174*Vekting!$C$3</f>
        <v>2.5747646407426501</v>
      </c>
      <c r="E173" s="64">
        <f>'Arbeidsark-K'!W174*Vekting!$D$3</f>
        <v>0.74500753086986871</v>
      </c>
      <c r="F173" s="64">
        <f>'Arbeidsark-K'!X174*Vekting!$E$3</f>
        <v>6.0167019892804268</v>
      </c>
      <c r="G173" s="64">
        <f>'Arbeidsark-K'!Y174*Vekting!$F$3</f>
        <v>3.0203009480799445</v>
      </c>
      <c r="H173" s="64">
        <f>'Arbeidsark-K'!Z174*Vekting!$G$3</f>
        <v>3.0831838673456566</v>
      </c>
      <c r="I173" s="64">
        <f>'Arbeidsark-K'!AA174*Vekting!$H$3</f>
        <v>4.6117153056602769</v>
      </c>
      <c r="J173" s="64">
        <f>'Arbeidsark-K'!AB174*Vekting!$I$3</f>
        <v>3.5709507085491001</v>
      </c>
      <c r="K173" s="64">
        <f>'Arbeidsark-K'!AC174*Vekting!$J$3</f>
        <v>7.3164500721981574</v>
      </c>
      <c r="L173" s="63">
        <f t="shared" si="2"/>
        <v>42.939075062726083</v>
      </c>
      <c r="M173" s="65" t="s">
        <v>619</v>
      </c>
    </row>
    <row r="174" spans="1:13" x14ac:dyDescent="0.25">
      <c r="A174" s="66" t="s">
        <v>169</v>
      </c>
      <c r="B174" s="66">
        <v>173</v>
      </c>
      <c r="C174" s="64">
        <f>'Arbeidsark-K'!U175*Vekting!$B$3</f>
        <v>10</v>
      </c>
      <c r="D174" s="64">
        <f>'Arbeidsark-K'!V175*Vekting!$C$3</f>
        <v>2.3539628204739849</v>
      </c>
      <c r="E174" s="64">
        <f>'Arbeidsark-K'!W175*Vekting!$D$3</f>
        <v>0.50189552461469733</v>
      </c>
      <c r="F174" s="64">
        <f>'Arbeidsark-K'!X175*Vekting!$E$3</f>
        <v>8.5360483978583659</v>
      </c>
      <c r="G174" s="64">
        <f>'Arbeidsark-K'!Y175*Vekting!$F$3</f>
        <v>2.916108868403648</v>
      </c>
      <c r="H174" s="64">
        <f>'Arbeidsark-K'!Z175*Vekting!$G$3</f>
        <v>3.8865305519521032</v>
      </c>
      <c r="I174" s="64">
        <f>'Arbeidsark-K'!AA175*Vekting!$H$3</f>
        <v>1.6056419873922652</v>
      </c>
      <c r="J174" s="64">
        <f>'Arbeidsark-K'!AB175*Vekting!$I$3</f>
        <v>6.046522623103364</v>
      </c>
      <c r="K174" s="64">
        <f>'Arbeidsark-K'!AC175*Vekting!$J$3</f>
        <v>3.1622792402532482</v>
      </c>
      <c r="L174" s="63">
        <f t="shared" si="2"/>
        <v>39.008990014051676</v>
      </c>
      <c r="M174" s="65" t="s">
        <v>620</v>
      </c>
    </row>
    <row r="175" spans="1:13" x14ac:dyDescent="0.25">
      <c r="A175" s="66" t="s">
        <v>170</v>
      </c>
      <c r="B175" s="66">
        <v>174</v>
      </c>
      <c r="C175" s="64">
        <f>'Arbeidsark-K'!U176*Vekting!$B$3</f>
        <v>18</v>
      </c>
      <c r="D175" s="64">
        <f>'Arbeidsark-K'!V176*Vekting!$C$3</f>
        <v>4.114991972372847</v>
      </c>
      <c r="E175" s="64">
        <f>'Arbeidsark-K'!W176*Vekting!$D$3</f>
        <v>0.23093851491387909</v>
      </c>
      <c r="F175" s="64">
        <f>'Arbeidsark-K'!X176*Vekting!$E$3</f>
        <v>15.660411958610377</v>
      </c>
      <c r="G175" s="64">
        <f>'Arbeidsark-K'!Y176*Vekting!$F$3</f>
        <v>3.5467567884649238</v>
      </c>
      <c r="H175" s="64">
        <f>'Arbeidsark-K'!Z176*Vekting!$G$3</f>
        <v>5</v>
      </c>
      <c r="I175" s="64">
        <f>'Arbeidsark-K'!AA176*Vekting!$H$3</f>
        <v>4.2240242988080903</v>
      </c>
      <c r="J175" s="64">
        <f>'Arbeidsark-K'!AB176*Vekting!$I$3</f>
        <v>10</v>
      </c>
      <c r="K175" s="64">
        <f>'Arbeidsark-K'!AC176*Vekting!$J$3</f>
        <v>10</v>
      </c>
      <c r="L175" s="63">
        <f t="shared" si="2"/>
        <v>70.777123533170112</v>
      </c>
      <c r="M175" s="65" t="s">
        <v>621</v>
      </c>
    </row>
    <row r="176" spans="1:13" x14ac:dyDescent="0.25">
      <c r="A176" s="66" t="s">
        <v>171</v>
      </c>
      <c r="B176" s="66">
        <v>175</v>
      </c>
      <c r="C176" s="64">
        <f>'Arbeidsark-K'!U177*Vekting!$B$3</f>
        <v>18</v>
      </c>
      <c r="D176" s="64">
        <f>'Arbeidsark-K'!V177*Vekting!$C$3</f>
        <v>4.2550126388846827</v>
      </c>
      <c r="E176" s="64">
        <f>'Arbeidsark-K'!W177*Vekting!$D$3</f>
        <v>5.3382978472453644</v>
      </c>
      <c r="F176" s="64">
        <f>'Arbeidsark-K'!X177*Vekting!$E$3</f>
        <v>20</v>
      </c>
      <c r="G176" s="64">
        <f>'Arbeidsark-K'!Y177*Vekting!$F$3</f>
        <v>5</v>
      </c>
      <c r="H176" s="64">
        <f>'Arbeidsark-K'!Z177*Vekting!$G$3</f>
        <v>5</v>
      </c>
      <c r="I176" s="64">
        <f>'Arbeidsark-K'!AA177*Vekting!$H$3</f>
        <v>10</v>
      </c>
      <c r="J176" s="64">
        <f>'Arbeidsark-K'!AB177*Vekting!$I$3</f>
        <v>8.6803244047024499</v>
      </c>
      <c r="K176" s="64">
        <f>'Arbeidsark-K'!AC177*Vekting!$J$3</f>
        <v>9.2158169499055873</v>
      </c>
      <c r="L176" s="63">
        <f t="shared" si="2"/>
        <v>85.489451840738084</v>
      </c>
      <c r="M176" s="65" t="s">
        <v>622</v>
      </c>
    </row>
    <row r="177" spans="1:13" x14ac:dyDescent="0.25">
      <c r="A177" s="66" t="s">
        <v>172</v>
      </c>
      <c r="B177" s="66">
        <v>176</v>
      </c>
      <c r="C177" s="64">
        <f>'Arbeidsark-K'!U178*Vekting!$B$3</f>
        <v>18</v>
      </c>
      <c r="D177" s="64">
        <f>'Arbeidsark-K'!V178*Vekting!$C$3</f>
        <v>5.0278190098250093</v>
      </c>
      <c r="E177" s="64">
        <f>'Arbeidsark-K'!W178*Vekting!$D$3</f>
        <v>10</v>
      </c>
      <c r="F177" s="64">
        <f>'Arbeidsark-K'!X178*Vekting!$E$3</f>
        <v>20</v>
      </c>
      <c r="G177" s="64">
        <f>'Arbeidsark-K'!Y178*Vekting!$F$3</f>
        <v>5</v>
      </c>
      <c r="H177" s="64">
        <f>'Arbeidsark-K'!Z178*Vekting!$G$3</f>
        <v>5</v>
      </c>
      <c r="I177" s="64">
        <f>'Arbeidsark-K'!AA178*Vekting!$H$3</f>
        <v>10</v>
      </c>
      <c r="J177" s="64">
        <f>'Arbeidsark-K'!AB178*Vekting!$I$3</f>
        <v>6.9487800690349051</v>
      </c>
      <c r="K177" s="64">
        <f>'Arbeidsark-K'!AC178*Vekting!$J$3</f>
        <v>10</v>
      </c>
      <c r="L177" s="63">
        <f t="shared" si="2"/>
        <v>89.97659907885992</v>
      </c>
      <c r="M177" s="65" t="s">
        <v>623</v>
      </c>
    </row>
    <row r="178" spans="1:13" x14ac:dyDescent="0.25">
      <c r="A178" s="66" t="s">
        <v>173</v>
      </c>
      <c r="B178" s="66">
        <v>177</v>
      </c>
      <c r="C178" s="64">
        <f>'Arbeidsark-K'!U179*Vekting!$B$3</f>
        <v>18</v>
      </c>
      <c r="D178" s="64">
        <f>'Arbeidsark-K'!V179*Vekting!$C$3</f>
        <v>4.8433687087469171</v>
      </c>
      <c r="E178" s="64">
        <f>'Arbeidsark-K'!W179*Vekting!$D$3</f>
        <v>7.4973429861390573</v>
      </c>
      <c r="F178" s="64">
        <f>'Arbeidsark-K'!X179*Vekting!$E$3</f>
        <v>20</v>
      </c>
      <c r="G178" s="64">
        <f>'Arbeidsark-K'!Y179*Vekting!$F$3</f>
        <v>5</v>
      </c>
      <c r="H178" s="64">
        <f>'Arbeidsark-K'!Z179*Vekting!$G$3</f>
        <v>5</v>
      </c>
      <c r="I178" s="64">
        <f>'Arbeidsark-K'!AA179*Vekting!$H$3</f>
        <v>6.2119429500355814</v>
      </c>
      <c r="J178" s="64">
        <f>'Arbeidsark-K'!AB179*Vekting!$I$3</f>
        <v>6.926650772465627</v>
      </c>
      <c r="K178" s="64">
        <f>'Arbeidsark-K'!AC179*Vekting!$J$3</f>
        <v>10</v>
      </c>
      <c r="L178" s="63">
        <f t="shared" si="2"/>
        <v>83.479305417387167</v>
      </c>
      <c r="M178" s="65" t="s">
        <v>624</v>
      </c>
    </row>
    <row r="179" spans="1:13" x14ac:dyDescent="0.25">
      <c r="A179" s="66" t="s">
        <v>174</v>
      </c>
      <c r="B179" s="66">
        <v>178</v>
      </c>
      <c r="C179" s="64">
        <f>'Arbeidsark-K'!U180*Vekting!$B$3</f>
        <v>18</v>
      </c>
      <c r="D179" s="64">
        <f>'Arbeidsark-K'!V180*Vekting!$C$3</f>
        <v>4.8972228112514697</v>
      </c>
      <c r="E179" s="64">
        <f>'Arbeidsark-K'!W180*Vekting!$D$3</f>
        <v>1.3425999463717417</v>
      </c>
      <c r="F179" s="64">
        <f>'Arbeidsark-K'!X180*Vekting!$E$3</f>
        <v>20</v>
      </c>
      <c r="G179" s="64">
        <f>'Arbeidsark-K'!Y180*Vekting!$F$3</f>
        <v>5</v>
      </c>
      <c r="H179" s="64">
        <f>'Arbeidsark-K'!Z180*Vekting!$G$3</f>
        <v>5</v>
      </c>
      <c r="I179" s="64">
        <f>'Arbeidsark-K'!AA180*Vekting!$H$3</f>
        <v>10</v>
      </c>
      <c r="J179" s="64">
        <f>'Arbeidsark-K'!AB180*Vekting!$I$3</f>
        <v>6.5378510816064308</v>
      </c>
      <c r="K179" s="64">
        <f>'Arbeidsark-K'!AC180*Vekting!$J$3</f>
        <v>10</v>
      </c>
      <c r="L179" s="63">
        <f t="shared" si="2"/>
        <v>80.777673839229649</v>
      </c>
      <c r="M179" s="65" t="s">
        <v>625</v>
      </c>
    </row>
    <row r="180" spans="1:13" x14ac:dyDescent="0.25">
      <c r="A180" s="66" t="s">
        <v>175</v>
      </c>
      <c r="B180" s="66">
        <v>179</v>
      </c>
      <c r="C180" s="64">
        <f>'Arbeidsark-K'!U181*Vekting!$B$3</f>
        <v>18</v>
      </c>
      <c r="D180" s="64">
        <f>'Arbeidsark-K'!V181*Vekting!$C$3</f>
        <v>5.6915708231936168</v>
      </c>
      <c r="E180" s="64">
        <f>'Arbeidsark-K'!W181*Vekting!$D$3</f>
        <v>10</v>
      </c>
      <c r="F180" s="64">
        <f>'Arbeidsark-K'!X181*Vekting!$E$3</f>
        <v>20</v>
      </c>
      <c r="G180" s="64">
        <f>'Arbeidsark-K'!Y181*Vekting!$F$3</f>
        <v>5</v>
      </c>
      <c r="H180" s="64">
        <f>'Arbeidsark-K'!Z181*Vekting!$G$3</f>
        <v>5</v>
      </c>
      <c r="I180" s="64">
        <f>'Arbeidsark-K'!AA181*Vekting!$H$3</f>
        <v>10</v>
      </c>
      <c r="J180" s="64">
        <f>'Arbeidsark-K'!AB181*Vekting!$I$3</f>
        <v>2.7122452640217802</v>
      </c>
      <c r="K180" s="64">
        <f>'Arbeidsark-K'!AC181*Vekting!$J$3</f>
        <v>10</v>
      </c>
      <c r="L180" s="63">
        <f t="shared" si="2"/>
        <v>86.40381608721539</v>
      </c>
      <c r="M180" s="65" t="s">
        <v>626</v>
      </c>
    </row>
    <row r="181" spans="1:13" x14ac:dyDescent="0.25">
      <c r="A181" s="66" t="s">
        <v>176</v>
      </c>
      <c r="B181" s="66">
        <v>180</v>
      </c>
      <c r="C181" s="64">
        <f>'Arbeidsark-K'!U182*Vekting!$B$3</f>
        <v>18</v>
      </c>
      <c r="D181" s="64">
        <f>'Arbeidsark-K'!V182*Vekting!$C$3</f>
        <v>5.1193709840827477</v>
      </c>
      <c r="E181" s="64">
        <f>'Arbeidsark-K'!W182*Vekting!$D$3</f>
        <v>10</v>
      </c>
      <c r="F181" s="64">
        <f>'Arbeidsark-K'!X182*Vekting!$E$3</f>
        <v>17.139014981043371</v>
      </c>
      <c r="G181" s="64">
        <f>'Arbeidsark-K'!Y182*Vekting!$F$3</f>
        <v>4.5103002948809623</v>
      </c>
      <c r="H181" s="64">
        <f>'Arbeidsark-K'!Z182*Vekting!$G$3</f>
        <v>5</v>
      </c>
      <c r="I181" s="64">
        <f>'Arbeidsark-K'!AA182*Vekting!$H$3</f>
        <v>2.9136446214838729</v>
      </c>
      <c r="J181" s="64">
        <f>'Arbeidsark-K'!AB182*Vekting!$I$3</f>
        <v>3.4763036057433272</v>
      </c>
      <c r="K181" s="64">
        <f>'Arbeidsark-K'!AC182*Vekting!$J$3</f>
        <v>10</v>
      </c>
      <c r="L181" s="63">
        <f t="shared" si="2"/>
        <v>76.158634487234295</v>
      </c>
      <c r="M181" s="65" t="s">
        <v>627</v>
      </c>
    </row>
    <row r="182" spans="1:13" x14ac:dyDescent="0.25">
      <c r="A182" s="66" t="s">
        <v>177</v>
      </c>
      <c r="B182" s="66">
        <v>181</v>
      </c>
      <c r="C182" s="64">
        <f>'Arbeidsark-K'!U183*Vekting!$B$3</f>
        <v>18</v>
      </c>
      <c r="D182" s="64">
        <f>'Arbeidsark-K'!V183*Vekting!$C$3</f>
        <v>3.760901248405415</v>
      </c>
      <c r="E182" s="64">
        <f>'Arbeidsark-K'!W183*Vekting!$D$3</f>
        <v>2.6129542928285333E-2</v>
      </c>
      <c r="F182" s="64">
        <f>'Arbeidsark-K'!X183*Vekting!$E$3</f>
        <v>15.789306927131804</v>
      </c>
      <c r="G182" s="64">
        <f>'Arbeidsark-K'!Y183*Vekting!$F$3</f>
        <v>1.9150715223943202</v>
      </c>
      <c r="H182" s="64">
        <f>'Arbeidsark-K'!Z183*Vekting!$G$3</f>
        <v>4.2743700649070577</v>
      </c>
      <c r="I182" s="64">
        <f>'Arbeidsark-K'!AA183*Vekting!$H$3</f>
        <v>6.9228881703132661</v>
      </c>
      <c r="J182" s="64">
        <f>'Arbeidsark-K'!AB183*Vekting!$I$3</f>
        <v>7.9507457422352985</v>
      </c>
      <c r="K182" s="64">
        <f>'Arbeidsark-K'!AC183*Vekting!$J$3</f>
        <v>10</v>
      </c>
      <c r="L182" s="63">
        <f t="shared" si="2"/>
        <v>68.63941321831544</v>
      </c>
      <c r="M182" s="65" t="s">
        <v>628</v>
      </c>
    </row>
    <row r="183" spans="1:13" x14ac:dyDescent="0.25">
      <c r="A183" s="66" t="s">
        <v>178</v>
      </c>
      <c r="B183" s="66">
        <v>182</v>
      </c>
      <c r="C183" s="64">
        <f>'Arbeidsark-K'!U184*Vekting!$B$3</f>
        <v>18</v>
      </c>
      <c r="D183" s="64">
        <f>'Arbeidsark-K'!V184*Vekting!$C$3</f>
        <v>3.257365389987851</v>
      </c>
      <c r="E183" s="64">
        <f>'Arbeidsark-K'!W184*Vekting!$D$3</f>
        <v>4.233326047294339</v>
      </c>
      <c r="F183" s="64">
        <f>'Arbeidsark-K'!X184*Vekting!$E$3</f>
        <v>20</v>
      </c>
      <c r="G183" s="64">
        <f>'Arbeidsark-K'!Y184*Vekting!$F$3</f>
        <v>4.5628773631045512</v>
      </c>
      <c r="H183" s="64">
        <f>'Arbeidsark-K'!Z184*Vekting!$G$3</f>
        <v>4.9834512417344197</v>
      </c>
      <c r="I183" s="64">
        <f>'Arbeidsark-K'!AA184*Vekting!$H$3</f>
        <v>7.6798160419736483</v>
      </c>
      <c r="J183" s="64">
        <f>'Arbeidsark-K'!AB184*Vekting!$I$3</f>
        <v>3.2682024544259636</v>
      </c>
      <c r="K183" s="64">
        <f>'Arbeidsark-K'!AC184*Vekting!$J$3</f>
        <v>9.8489392424747315</v>
      </c>
      <c r="L183" s="63">
        <f t="shared" si="2"/>
        <v>75.833977780995497</v>
      </c>
      <c r="M183" s="65" t="s">
        <v>629</v>
      </c>
    </row>
    <row r="184" spans="1:13" x14ac:dyDescent="0.25">
      <c r="A184" s="66" t="s">
        <v>179</v>
      </c>
      <c r="B184" s="66">
        <v>183</v>
      </c>
      <c r="C184" s="64">
        <f>'Arbeidsark-K'!U185*Vekting!$B$3</f>
        <v>0</v>
      </c>
      <c r="D184" s="64">
        <f>'Arbeidsark-K'!V185*Vekting!$C$3</f>
        <v>1.4034379112686362</v>
      </c>
      <c r="E184" s="64">
        <f>'Arbeidsark-K'!W185*Vekting!$D$3</f>
        <v>9.2541143225096795E-2</v>
      </c>
      <c r="F184" s="64">
        <f>'Arbeidsark-K'!X185*Vekting!$E$3</f>
        <v>4.7295611603069121</v>
      </c>
      <c r="G184" s="64">
        <f>'Arbeidsark-K'!Y185*Vekting!$F$3</f>
        <v>1.8290900706163027</v>
      </c>
      <c r="H184" s="64">
        <f>'Arbeidsark-K'!Z185*Vekting!$G$3</f>
        <v>2.6680617161561022</v>
      </c>
      <c r="I184" s="64">
        <f>'Arbeidsark-K'!AA185*Vekting!$H$3</f>
        <v>0</v>
      </c>
      <c r="J184" s="64">
        <f>'Arbeidsark-K'!AB185*Vekting!$I$3</f>
        <v>10</v>
      </c>
      <c r="K184" s="64">
        <f>'Arbeidsark-K'!AC185*Vekting!$J$3</f>
        <v>9.9600133288903692</v>
      </c>
      <c r="L184" s="63">
        <f t="shared" si="2"/>
        <v>30.682705330463421</v>
      </c>
      <c r="M184" s="65" t="s">
        <v>630</v>
      </c>
    </row>
    <row r="185" spans="1:13" x14ac:dyDescent="0.25">
      <c r="A185" s="66" t="s">
        <v>180</v>
      </c>
      <c r="B185" s="66">
        <v>184</v>
      </c>
      <c r="C185" s="64">
        <f>'Arbeidsark-K'!U186*Vekting!$B$3</f>
        <v>2</v>
      </c>
      <c r="D185" s="64">
        <f>'Arbeidsark-K'!V186*Vekting!$C$3</f>
        <v>1.4909508278385337</v>
      </c>
      <c r="E185" s="64">
        <f>'Arbeidsark-K'!W186*Vekting!$D$3</f>
        <v>7.2510052830637051E-2</v>
      </c>
      <c r="F185" s="64">
        <f>'Arbeidsark-K'!X186*Vekting!$E$3</f>
        <v>4.230709601799191</v>
      </c>
      <c r="G185" s="64">
        <f>'Arbeidsark-K'!Y186*Vekting!$F$3</f>
        <v>2.2810944091501084</v>
      </c>
      <c r="H185" s="64">
        <f>'Arbeidsark-K'!Z186*Vekting!$G$3</f>
        <v>2.5662471711647767</v>
      </c>
      <c r="I185" s="64">
        <f>'Arbeidsark-K'!AA186*Vekting!$H$3</f>
        <v>10</v>
      </c>
      <c r="J185" s="64">
        <f>'Arbeidsark-K'!AB186*Vekting!$I$3</f>
        <v>10</v>
      </c>
      <c r="K185" s="64">
        <f>'Arbeidsark-K'!AC186*Vekting!$J$3</f>
        <v>5.6392313673220045</v>
      </c>
      <c r="L185" s="63">
        <f t="shared" si="2"/>
        <v>38.280743430105254</v>
      </c>
      <c r="M185" s="65" t="s">
        <v>631</v>
      </c>
    </row>
    <row r="186" spans="1:13" x14ac:dyDescent="0.25">
      <c r="A186" s="66" t="s">
        <v>181</v>
      </c>
      <c r="B186" s="66">
        <v>185</v>
      </c>
      <c r="C186" s="64">
        <f>'Arbeidsark-K'!U187*Vekting!$B$3</f>
        <v>4</v>
      </c>
      <c r="D186" s="64">
        <f>'Arbeidsark-K'!V187*Vekting!$C$3</f>
        <v>1.566346571344907</v>
      </c>
      <c r="E186" s="64">
        <f>'Arbeidsark-K'!W187*Vekting!$D$3</f>
        <v>0.55654965420084468</v>
      </c>
      <c r="F186" s="64">
        <f>'Arbeidsark-K'!X187*Vekting!$E$3</f>
        <v>5.2075270980027888</v>
      </c>
      <c r="G186" s="64">
        <f>'Arbeidsark-K'!Y187*Vekting!$F$3</f>
        <v>3.2182962761645229</v>
      </c>
      <c r="H186" s="64">
        <f>'Arbeidsark-K'!Z187*Vekting!$G$3</f>
        <v>2.2504932488698812</v>
      </c>
      <c r="I186" s="64">
        <f>'Arbeidsark-K'!AA187*Vekting!$H$3</f>
        <v>1.966483188562961</v>
      </c>
      <c r="J186" s="64">
        <f>'Arbeidsark-K'!AB187*Vekting!$I$3</f>
        <v>3.5508575843773729</v>
      </c>
      <c r="K186" s="64">
        <f>'Arbeidsark-K'!AC187*Vekting!$J$3</f>
        <v>5.7725202710207713</v>
      </c>
      <c r="L186" s="63">
        <f t="shared" si="2"/>
        <v>28.089073892544047</v>
      </c>
      <c r="M186" s="65" t="s">
        <v>632</v>
      </c>
    </row>
    <row r="187" spans="1:13" x14ac:dyDescent="0.25">
      <c r="A187" s="66" t="s">
        <v>182</v>
      </c>
      <c r="B187" s="66">
        <v>186</v>
      </c>
      <c r="C187" s="64">
        <f>'Arbeidsark-K'!U188*Vekting!$B$3</f>
        <v>18</v>
      </c>
      <c r="D187" s="64">
        <f>'Arbeidsark-K'!V188*Vekting!$C$3</f>
        <v>3.985742126361921</v>
      </c>
      <c r="E187" s="64">
        <f>'Arbeidsark-K'!W188*Vekting!$D$3</f>
        <v>2.2168463618992962</v>
      </c>
      <c r="F187" s="64">
        <f>'Arbeidsark-K'!X188*Vekting!$E$3</f>
        <v>20</v>
      </c>
      <c r="G187" s="64">
        <f>'Arbeidsark-K'!Y188*Vekting!$F$3</f>
        <v>4.5771473336298527</v>
      </c>
      <c r="H187" s="64">
        <f>'Arbeidsark-K'!Z188*Vekting!$G$3</f>
        <v>4.2595737351287424</v>
      </c>
      <c r="I187" s="64">
        <f>'Arbeidsark-K'!AA188*Vekting!$H$3</f>
        <v>5.5776082920080405</v>
      </c>
      <c r="J187" s="64">
        <f>'Arbeidsark-K'!AB188*Vekting!$I$3</f>
        <v>9.9918972347597563</v>
      </c>
      <c r="K187" s="64">
        <f>'Arbeidsark-K'!AC188*Vekting!$J$3</f>
        <v>10</v>
      </c>
      <c r="L187" s="63">
        <f t="shared" si="2"/>
        <v>78.608815083787604</v>
      </c>
      <c r="M187" s="65" t="s">
        <v>633</v>
      </c>
    </row>
    <row r="188" spans="1:13" x14ac:dyDescent="0.25">
      <c r="A188" s="66" t="s">
        <v>183</v>
      </c>
      <c r="B188" s="66">
        <v>187</v>
      </c>
      <c r="C188" s="64">
        <f>'Arbeidsark-K'!U189*Vekting!$B$3</f>
        <v>18</v>
      </c>
      <c r="D188" s="64">
        <f>'Arbeidsark-K'!V189*Vekting!$C$3</f>
        <v>4.5296685616578989</v>
      </c>
      <c r="E188" s="64">
        <f>'Arbeidsark-K'!W189*Vekting!$D$3</f>
        <v>5.4727942918028081</v>
      </c>
      <c r="F188" s="64">
        <f>'Arbeidsark-K'!X189*Vekting!$E$3</f>
        <v>20</v>
      </c>
      <c r="G188" s="64">
        <f>'Arbeidsark-K'!Y189*Vekting!$F$3</f>
        <v>4.187843675232763</v>
      </c>
      <c r="H188" s="64">
        <f>'Arbeidsark-K'!Z189*Vekting!$G$3</f>
        <v>5</v>
      </c>
      <c r="I188" s="64">
        <f>'Arbeidsark-K'!AA189*Vekting!$H$3</f>
        <v>10</v>
      </c>
      <c r="J188" s="64">
        <f>'Arbeidsark-K'!AB189*Vekting!$I$3</f>
        <v>6.7776175226903579</v>
      </c>
      <c r="K188" s="64">
        <f>'Arbeidsark-K'!AC189*Vekting!$J$3</f>
        <v>10</v>
      </c>
      <c r="L188" s="63">
        <f t="shared" si="2"/>
        <v>83.967924051383832</v>
      </c>
      <c r="M188" s="65" t="s">
        <v>634</v>
      </c>
    </row>
    <row r="189" spans="1:13" x14ac:dyDescent="0.25">
      <c r="A189" s="66" t="s">
        <v>184</v>
      </c>
      <c r="B189" s="66">
        <v>188</v>
      </c>
      <c r="C189" s="64">
        <f>'Arbeidsark-K'!U190*Vekting!$B$3</f>
        <v>18</v>
      </c>
      <c r="D189" s="64">
        <f>'Arbeidsark-K'!V190*Vekting!$C$3</f>
        <v>2.4253195062925172</v>
      </c>
      <c r="E189" s="64">
        <f>'Arbeidsark-K'!W190*Vekting!$D$3</f>
        <v>6.2345743435243834</v>
      </c>
      <c r="F189" s="64">
        <f>'Arbeidsark-K'!X190*Vekting!$E$3</f>
        <v>5.8421077255440883</v>
      </c>
      <c r="G189" s="64">
        <f>'Arbeidsark-K'!Y190*Vekting!$F$3</f>
        <v>1.9746650243305084</v>
      </c>
      <c r="H189" s="64">
        <f>'Arbeidsark-K'!Z190*Vekting!$G$3</f>
        <v>1.3229216627064302</v>
      </c>
      <c r="I189" s="64">
        <f>'Arbeidsark-K'!AA190*Vekting!$H$3</f>
        <v>9.328627398321947</v>
      </c>
      <c r="J189" s="64">
        <f>'Arbeidsark-K'!AB190*Vekting!$I$3</f>
        <v>10</v>
      </c>
      <c r="K189" s="64">
        <f>'Arbeidsark-K'!AC190*Vekting!$J$3</f>
        <v>8.5493724314117525</v>
      </c>
      <c r="L189" s="63">
        <f t="shared" si="2"/>
        <v>63.677588092131622</v>
      </c>
      <c r="M189" s="65" t="s">
        <v>635</v>
      </c>
    </row>
    <row r="190" spans="1:13" x14ac:dyDescent="0.25">
      <c r="A190" s="66" t="s">
        <v>185</v>
      </c>
      <c r="B190" s="66">
        <v>189</v>
      </c>
      <c r="C190" s="64">
        <f>'Arbeidsark-K'!U191*Vekting!$B$3</f>
        <v>14</v>
      </c>
      <c r="D190" s="64">
        <f>'Arbeidsark-K'!V191*Vekting!$C$3</f>
        <v>4.6831527537958735</v>
      </c>
      <c r="E190" s="64">
        <f>'Arbeidsark-K'!W191*Vekting!$D$3</f>
        <v>1.2583988699018818</v>
      </c>
      <c r="F190" s="64">
        <f>'Arbeidsark-K'!X191*Vekting!$E$3</f>
        <v>11.433683462510269</v>
      </c>
      <c r="G190" s="64">
        <f>'Arbeidsark-K'!Y191*Vekting!$F$3</f>
        <v>2.1811931010405829</v>
      </c>
      <c r="H190" s="64">
        <f>'Arbeidsark-K'!Z191*Vekting!$G$3</f>
        <v>2.4405848136936843</v>
      </c>
      <c r="I190" s="64">
        <f>'Arbeidsark-K'!AA191*Vekting!$H$3</f>
        <v>3.1453704333143264</v>
      </c>
      <c r="J190" s="64">
        <f>'Arbeidsark-K'!AB191*Vekting!$I$3</f>
        <v>8.0358899741625862</v>
      </c>
      <c r="K190" s="64">
        <f>'Arbeidsark-K'!AC191*Vekting!$J$3</f>
        <v>6.9165833611018543</v>
      </c>
      <c r="L190" s="63">
        <f t="shared" si="2"/>
        <v>54.094856769521058</v>
      </c>
      <c r="M190" s="65" t="s">
        <v>636</v>
      </c>
    </row>
    <row r="191" spans="1:13" x14ac:dyDescent="0.25">
      <c r="A191" s="66" t="s">
        <v>186</v>
      </c>
      <c r="B191" s="66">
        <v>190</v>
      </c>
      <c r="C191" s="64">
        <f>'Arbeidsark-K'!U192*Vekting!$B$3</f>
        <v>14</v>
      </c>
      <c r="D191" s="64">
        <f>'Arbeidsark-K'!V192*Vekting!$C$3</f>
        <v>5.0480142982642162</v>
      </c>
      <c r="E191" s="64">
        <f>'Arbeidsark-K'!W192*Vekting!$D$3</f>
        <v>1.8415272763839454</v>
      </c>
      <c r="F191" s="64">
        <f>'Arbeidsark-K'!X192*Vekting!$E$3</f>
        <v>18.536142969362174</v>
      </c>
      <c r="G191" s="64">
        <f>'Arbeidsark-K'!Y192*Vekting!$F$3</f>
        <v>4.6317849619054039</v>
      </c>
      <c r="H191" s="64">
        <f>'Arbeidsark-K'!Z192*Vekting!$G$3</f>
        <v>4.9163054760516642</v>
      </c>
      <c r="I191" s="64">
        <f>'Arbeidsark-K'!AA192*Vekting!$H$3</f>
        <v>7.5277376474219526</v>
      </c>
      <c r="J191" s="64">
        <f>'Arbeidsark-K'!AB192*Vekting!$I$3</f>
        <v>6.4531511210449146</v>
      </c>
      <c r="K191" s="64">
        <f>'Arbeidsark-K'!AC192*Vekting!$J$3</f>
        <v>7.8496056869932254</v>
      </c>
      <c r="L191" s="63">
        <f t="shared" si="2"/>
        <v>70.804269437427493</v>
      </c>
      <c r="M191" s="65" t="s">
        <v>637</v>
      </c>
    </row>
    <row r="192" spans="1:13" x14ac:dyDescent="0.25">
      <c r="A192" s="66" t="s">
        <v>187</v>
      </c>
      <c r="B192" s="66">
        <v>191</v>
      </c>
      <c r="C192" s="64">
        <f>'Arbeidsark-K'!U193*Vekting!$B$3</f>
        <v>14</v>
      </c>
      <c r="D192" s="64">
        <f>'Arbeidsark-K'!V193*Vekting!$C$3</f>
        <v>5.4101831376073299</v>
      </c>
      <c r="E192" s="64">
        <f>'Arbeidsark-K'!W193*Vekting!$D$3</f>
        <v>10</v>
      </c>
      <c r="F192" s="64">
        <f>'Arbeidsark-K'!X193*Vekting!$E$3</f>
        <v>13.414552306281662</v>
      </c>
      <c r="G192" s="64">
        <f>'Arbeidsark-K'!Y193*Vekting!$F$3</f>
        <v>4.3780096126176167</v>
      </c>
      <c r="H192" s="64">
        <f>'Arbeidsark-K'!Z193*Vekting!$G$3</f>
        <v>4.494642458437732</v>
      </c>
      <c r="I192" s="64">
        <f>'Arbeidsark-K'!AA193*Vekting!$H$3</f>
        <v>5.7364107521018859</v>
      </c>
      <c r="J192" s="64">
        <f>'Arbeidsark-K'!AB193*Vekting!$I$3</f>
        <v>1.2307091943882142</v>
      </c>
      <c r="K192" s="64">
        <f>'Arbeidsark-K'!AC193*Vekting!$J$3</f>
        <v>7.2942352549150291</v>
      </c>
      <c r="L192" s="63">
        <f t="shared" si="2"/>
        <v>65.958742716349462</v>
      </c>
      <c r="M192" s="65" t="s">
        <v>638</v>
      </c>
    </row>
    <row r="193" spans="1:13" x14ac:dyDescent="0.25">
      <c r="A193" s="66" t="s">
        <v>188</v>
      </c>
      <c r="B193" s="66">
        <v>192</v>
      </c>
      <c r="C193" s="64">
        <f>'Arbeidsark-K'!U194*Vekting!$B$3</f>
        <v>0</v>
      </c>
      <c r="D193" s="64">
        <f>'Arbeidsark-K'!V194*Vekting!$C$3</f>
        <v>0.34116573936634109</v>
      </c>
      <c r="E193" s="64">
        <f>'Arbeidsark-K'!W194*Vekting!$D$3</f>
        <v>2.2737874401912692</v>
      </c>
      <c r="F193" s="64">
        <f>'Arbeidsark-K'!X194*Vekting!$E$3</f>
        <v>0</v>
      </c>
      <c r="G193" s="64">
        <f>'Arbeidsark-K'!Y194*Vekting!$F$3</f>
        <v>5</v>
      </c>
      <c r="H193" s="64">
        <f>'Arbeidsark-K'!Z194*Vekting!$G$3</f>
        <v>3.7105926272323395</v>
      </c>
      <c r="I193" s="64">
        <f>'Arbeidsark-K'!AA194*Vekting!$H$3</f>
        <v>0</v>
      </c>
      <c r="J193" s="64">
        <f>'Arbeidsark-K'!AB194*Vekting!$I$3</f>
        <v>10</v>
      </c>
      <c r="K193" s="64">
        <f>'Arbeidsark-K'!AC194*Vekting!$J$3</f>
        <v>7.4941686104631788</v>
      </c>
      <c r="L193" s="63">
        <f t="shared" si="2"/>
        <v>28.819714417253131</v>
      </c>
      <c r="M193" s="65" t="s">
        <v>639</v>
      </c>
    </row>
    <row r="194" spans="1:13" x14ac:dyDescent="0.25">
      <c r="A194" s="66" t="s">
        <v>189</v>
      </c>
      <c r="B194" s="66">
        <v>193</v>
      </c>
      <c r="C194" s="64">
        <f>'Arbeidsark-K'!U195*Vekting!$B$3</f>
        <v>14</v>
      </c>
      <c r="D194" s="64">
        <f>'Arbeidsark-K'!V195*Vekting!$C$3</f>
        <v>3.7703257163437116</v>
      </c>
      <c r="E194" s="64">
        <f>'Arbeidsark-K'!W195*Vekting!$D$3</f>
        <v>0.96738687947515134</v>
      </c>
      <c r="F194" s="64">
        <f>'Arbeidsark-K'!X195*Vekting!$E$3</f>
        <v>12.313701270937315</v>
      </c>
      <c r="G194" s="64">
        <f>'Arbeidsark-K'!Y195*Vekting!$F$3</f>
        <v>3.1447795195517512</v>
      </c>
      <c r="H194" s="64">
        <f>'Arbeidsark-K'!Z195*Vekting!$G$3</f>
        <v>3.9826425054762868</v>
      </c>
      <c r="I194" s="64">
        <f>'Arbeidsark-K'!AA195*Vekting!$H$3</f>
        <v>10</v>
      </c>
      <c r="J194" s="64">
        <f>'Arbeidsark-K'!AB195*Vekting!$I$3</f>
        <v>8.3003548462063659</v>
      </c>
      <c r="K194" s="64">
        <f>'Arbeidsark-K'!AC195*Vekting!$J$3</f>
        <v>8.9825613684327461</v>
      </c>
      <c r="L194" s="63">
        <f t="shared" ref="L194:L257" si="3">SUM(C194:K194)</f>
        <v>65.461752106423333</v>
      </c>
      <c r="M194" s="65" t="s">
        <v>640</v>
      </c>
    </row>
    <row r="195" spans="1:13" x14ac:dyDescent="0.25">
      <c r="A195" s="66" t="s">
        <v>190</v>
      </c>
      <c r="B195" s="66">
        <v>194</v>
      </c>
      <c r="C195" s="64">
        <f>'Arbeidsark-K'!U196*Vekting!$B$3</f>
        <v>20</v>
      </c>
      <c r="D195" s="64">
        <f>'Arbeidsark-K'!V196*Vekting!$C$3</f>
        <v>5.1893813173386656</v>
      </c>
      <c r="E195" s="64">
        <f>'Arbeidsark-K'!W196*Vekting!$D$3</f>
        <v>10</v>
      </c>
      <c r="F195" s="64">
        <f>'Arbeidsark-K'!X196*Vekting!$E$3</f>
        <v>16.649965470262277</v>
      </c>
      <c r="G195" s="64">
        <f>'Arbeidsark-K'!Y196*Vekting!$F$3</f>
        <v>5</v>
      </c>
      <c r="H195" s="64">
        <f>'Arbeidsark-K'!Z196*Vekting!$G$3</f>
        <v>4.8874130588796527</v>
      </c>
      <c r="I195" s="64">
        <f>'Arbeidsark-K'!AA196*Vekting!$H$3</f>
        <v>7.083021935890919</v>
      </c>
      <c r="J195" s="64">
        <f>'Arbeidsark-K'!AB196*Vekting!$I$3</f>
        <v>1.3080210643757952</v>
      </c>
      <c r="K195" s="64">
        <f>'Arbeidsark-K'!AC196*Vekting!$J$3</f>
        <v>10</v>
      </c>
      <c r="L195" s="63">
        <f t="shared" si="3"/>
        <v>80.11780284674731</v>
      </c>
      <c r="M195" s="65" t="s">
        <v>641</v>
      </c>
    </row>
    <row r="196" spans="1:13" x14ac:dyDescent="0.25">
      <c r="A196" s="66" t="s">
        <v>191</v>
      </c>
      <c r="B196" s="66">
        <v>195</v>
      </c>
      <c r="C196" s="64">
        <f>'Arbeidsark-K'!U197*Vekting!$B$3</f>
        <v>6</v>
      </c>
      <c r="D196" s="64">
        <f>'Arbeidsark-K'!V197*Vekting!$C$3</f>
        <v>3.2923705566158099</v>
      </c>
      <c r="E196" s="64">
        <f>'Arbeidsark-K'!W197*Vekting!$D$3</f>
        <v>0.32631466307103524</v>
      </c>
      <c r="F196" s="64">
        <f>'Arbeidsark-K'!X197*Vekting!$E$3</f>
        <v>10.883562372002437</v>
      </c>
      <c r="G196" s="64">
        <f>'Arbeidsark-K'!Y197*Vekting!$F$3</f>
        <v>2.4335249008591298</v>
      </c>
      <c r="H196" s="64">
        <f>'Arbeidsark-K'!Z197*Vekting!$G$3</f>
        <v>3.1463273575558159</v>
      </c>
      <c r="I196" s="64">
        <f>'Arbeidsark-K'!AA197*Vekting!$H$3</f>
        <v>5.1383286696469899</v>
      </c>
      <c r="J196" s="64">
        <f>'Arbeidsark-K'!AB197*Vekting!$I$3</f>
        <v>7.5631682967234131</v>
      </c>
      <c r="K196" s="64">
        <f>'Arbeidsark-K'!AC197*Vekting!$J$3</f>
        <v>6.2168166166833281</v>
      </c>
      <c r="L196" s="63">
        <f t="shared" si="3"/>
        <v>45.000413433157959</v>
      </c>
      <c r="M196" s="65" t="s">
        <v>642</v>
      </c>
    </row>
    <row r="197" spans="1:13" x14ac:dyDescent="0.25">
      <c r="A197" s="66" t="s">
        <v>192</v>
      </c>
      <c r="B197" s="66">
        <v>196</v>
      </c>
      <c r="C197" s="64">
        <f>'Arbeidsark-K'!U198*Vekting!$B$3</f>
        <v>14</v>
      </c>
      <c r="D197" s="64">
        <f>'Arbeidsark-K'!V198*Vekting!$C$3</f>
        <v>4.5916007795381351</v>
      </c>
      <c r="E197" s="64">
        <f>'Arbeidsark-K'!W198*Vekting!$D$3</f>
        <v>1.6197992892701949</v>
      </c>
      <c r="F197" s="64">
        <f>'Arbeidsark-K'!X198*Vekting!$E$3</f>
        <v>20</v>
      </c>
      <c r="G197" s="64">
        <f>'Arbeidsark-K'!Y198*Vekting!$F$3</f>
        <v>3.5825495453293414</v>
      </c>
      <c r="H197" s="64">
        <f>'Arbeidsark-K'!Z198*Vekting!$G$3</f>
        <v>4.9436585884941024</v>
      </c>
      <c r="I197" s="64">
        <f>'Arbeidsark-K'!AA198*Vekting!$H$3</f>
        <v>10</v>
      </c>
      <c r="J197" s="64">
        <f>'Arbeidsark-K'!AB198*Vekting!$I$3</f>
        <v>5.2177642886081133</v>
      </c>
      <c r="K197" s="64">
        <f>'Arbeidsark-K'!AC198*Vekting!$J$3</f>
        <v>7.43863156725536</v>
      </c>
      <c r="L197" s="63">
        <f t="shared" si="3"/>
        <v>71.394004058495256</v>
      </c>
      <c r="M197" s="65" t="s">
        <v>643</v>
      </c>
    </row>
    <row r="198" spans="1:13" x14ac:dyDescent="0.25">
      <c r="A198" s="66" t="s">
        <v>193</v>
      </c>
      <c r="B198" s="66">
        <v>197</v>
      </c>
      <c r="C198" s="64">
        <f>'Arbeidsark-K'!U199*Vekting!$B$3</f>
        <v>10</v>
      </c>
      <c r="D198" s="64">
        <f>'Arbeidsark-K'!V199*Vekting!$C$3</f>
        <v>4.1392263184998948</v>
      </c>
      <c r="E198" s="64">
        <f>'Arbeidsark-K'!W199*Vekting!$D$3</f>
        <v>3.4759146489476409</v>
      </c>
      <c r="F198" s="64">
        <f>'Arbeidsark-K'!X199*Vekting!$E$3</f>
        <v>11.927410739779845</v>
      </c>
      <c r="G198" s="64">
        <f>'Arbeidsark-K'!Y199*Vekting!$F$3</f>
        <v>3.215419805515781</v>
      </c>
      <c r="H198" s="64">
        <f>'Arbeidsark-K'!Z199*Vekting!$G$3</f>
        <v>4.1985804927775865</v>
      </c>
      <c r="I198" s="64">
        <f>'Arbeidsark-K'!AA199*Vekting!$H$3</f>
        <v>4.7719180705400444</v>
      </c>
      <c r="J198" s="64">
        <f>'Arbeidsark-K'!AB199*Vekting!$I$3</f>
        <v>3.9341510342327233</v>
      </c>
      <c r="K198" s="64">
        <f>'Arbeidsark-K'!AC199*Vekting!$J$3</f>
        <v>10</v>
      </c>
      <c r="L198" s="63">
        <f t="shared" si="3"/>
        <v>55.662621110293514</v>
      </c>
      <c r="M198" s="65" t="s">
        <v>644</v>
      </c>
    </row>
    <row r="199" spans="1:13" x14ac:dyDescent="0.25">
      <c r="A199" s="66" t="s">
        <v>194</v>
      </c>
      <c r="B199" s="66">
        <v>198</v>
      </c>
      <c r="C199" s="64">
        <f>'Arbeidsark-K'!U200*Vekting!$B$3</f>
        <v>10</v>
      </c>
      <c r="D199" s="64">
        <f>'Arbeidsark-K'!V200*Vekting!$C$3</f>
        <v>4.9026082215019251</v>
      </c>
      <c r="E199" s="64">
        <f>'Arbeidsark-K'!W200*Vekting!$D$3</f>
        <v>9.6694435248744099</v>
      </c>
      <c r="F199" s="64">
        <f>'Arbeidsark-K'!X200*Vekting!$E$3</f>
        <v>14.775563994524937</v>
      </c>
      <c r="G199" s="64">
        <f>'Arbeidsark-K'!Y200*Vekting!$F$3</f>
        <v>4.7411650361839346</v>
      </c>
      <c r="H199" s="64">
        <f>'Arbeidsark-K'!Z200*Vekting!$G$3</f>
        <v>4.698431182871051</v>
      </c>
      <c r="I199" s="64">
        <f>'Arbeidsark-K'!AA200*Vekting!$H$3</f>
        <v>4.1861839108514651</v>
      </c>
      <c r="J199" s="64">
        <f>'Arbeidsark-K'!AB200*Vekting!$I$3</f>
        <v>3.160389301093153</v>
      </c>
      <c r="K199" s="64">
        <f>'Arbeidsark-K'!AC200*Vekting!$J$3</f>
        <v>8.4382983449961131</v>
      </c>
      <c r="L199" s="63">
        <f t="shared" si="3"/>
        <v>64.57208351689701</v>
      </c>
      <c r="M199" s="65" t="s">
        <v>645</v>
      </c>
    </row>
    <row r="200" spans="1:13" x14ac:dyDescent="0.25">
      <c r="A200" s="66" t="s">
        <v>195</v>
      </c>
      <c r="B200" s="66">
        <v>199</v>
      </c>
      <c r="C200" s="64">
        <f>'Arbeidsark-K'!U201*Vekting!$B$3</f>
        <v>10</v>
      </c>
      <c r="D200" s="64">
        <f>'Arbeidsark-K'!V201*Vekting!$C$3</f>
        <v>4.7518167344891777</v>
      </c>
      <c r="E200" s="64">
        <f>'Arbeidsark-K'!W201*Vekting!$D$3</f>
        <v>1.5759122056367418</v>
      </c>
      <c r="F200" s="64">
        <f>'Arbeidsark-K'!X201*Vekting!$E$3</f>
        <v>13.381631087342356</v>
      </c>
      <c r="G200" s="64">
        <f>'Arbeidsark-K'!Y201*Vekting!$F$3</f>
        <v>2.8680629987943531</v>
      </c>
      <c r="H200" s="64">
        <f>'Arbeidsark-K'!Z201*Vekting!$G$3</f>
        <v>4.8577947086124063</v>
      </c>
      <c r="I200" s="64">
        <f>'Arbeidsark-K'!AA201*Vekting!$H$3</f>
        <v>9.0169895693887607</v>
      </c>
      <c r="J200" s="64">
        <f>'Arbeidsark-K'!AB201*Vekting!$I$3</f>
        <v>6.0626549829166647</v>
      </c>
      <c r="K200" s="64">
        <f>'Arbeidsark-K'!AC201*Vekting!$J$3</f>
        <v>8.738198378318339</v>
      </c>
      <c r="L200" s="63">
        <f t="shared" si="3"/>
        <v>61.253060665498801</v>
      </c>
      <c r="M200" s="65" t="s">
        <v>646</v>
      </c>
    </row>
    <row r="201" spans="1:13" x14ac:dyDescent="0.25">
      <c r="A201" s="66" t="s">
        <v>196</v>
      </c>
      <c r="B201" s="66">
        <v>200</v>
      </c>
      <c r="C201" s="64">
        <f>'Arbeidsark-K'!U202*Vekting!$B$3</f>
        <v>10</v>
      </c>
      <c r="D201" s="64">
        <f>'Arbeidsark-K'!V202*Vekting!$C$3</f>
        <v>3.2681362104887612</v>
      </c>
      <c r="E201" s="64">
        <f>'Arbeidsark-K'!W202*Vekting!$D$3</f>
        <v>0.73892968929726099</v>
      </c>
      <c r="F201" s="64">
        <f>'Arbeidsark-K'!X202*Vekting!$E$3</f>
        <v>7.6394584888416617</v>
      </c>
      <c r="G201" s="64">
        <f>'Arbeidsark-K'!Y202*Vekting!$F$3</f>
        <v>1.9486046415027758</v>
      </c>
      <c r="H201" s="64">
        <f>'Arbeidsark-K'!Z202*Vekting!$G$3</f>
        <v>0.20784099795681113</v>
      </c>
      <c r="I201" s="64">
        <f>'Arbeidsark-K'!AA202*Vekting!$H$3</f>
        <v>9.4552688784206929</v>
      </c>
      <c r="J201" s="64">
        <f>'Arbeidsark-K'!AB202*Vekting!$I$3</f>
        <v>7.471960842315446</v>
      </c>
      <c r="K201" s="64">
        <f>'Arbeidsark-K'!AC202*Vekting!$J$3</f>
        <v>6.2723536598911478</v>
      </c>
      <c r="L201" s="63">
        <f t="shared" si="3"/>
        <v>47.002553408714554</v>
      </c>
      <c r="M201" s="65" t="s">
        <v>647</v>
      </c>
    </row>
    <row r="202" spans="1:13" x14ac:dyDescent="0.25">
      <c r="A202" s="66" t="s">
        <v>197</v>
      </c>
      <c r="B202" s="66">
        <v>201</v>
      </c>
      <c r="C202" s="64">
        <f>'Arbeidsark-K'!U203*Vekting!$B$3</f>
        <v>6</v>
      </c>
      <c r="D202" s="64">
        <f>'Arbeidsark-K'!V203*Vekting!$C$3</f>
        <v>0.40040525212134864</v>
      </c>
      <c r="E202" s="64">
        <f>'Arbeidsark-K'!W203*Vekting!$D$3</f>
        <v>0.81193784950461634</v>
      </c>
      <c r="F202" s="64">
        <f>'Arbeidsark-K'!X203*Vekting!$E$3</f>
        <v>6.0794399889062252</v>
      </c>
      <c r="G202" s="64">
        <f>'Arbeidsark-K'!Y203*Vekting!$F$3</f>
        <v>1.789455747419642</v>
      </c>
      <c r="H202" s="64">
        <f>'Arbeidsark-K'!Z203*Vekting!$G$3</f>
        <v>2.2000967001003562</v>
      </c>
      <c r="I202" s="64">
        <f>'Arbeidsark-K'!AA203*Vekting!$H$3</f>
        <v>1.7623764178610828</v>
      </c>
      <c r="J202" s="64">
        <f>'Arbeidsark-K'!AB203*Vekting!$I$3</f>
        <v>4.672275804012342</v>
      </c>
      <c r="K202" s="64">
        <f>'Arbeidsark-K'!AC203*Vekting!$J$3</f>
        <v>5.0283238920359885</v>
      </c>
      <c r="L202" s="63">
        <f t="shared" si="3"/>
        <v>28.744311651961606</v>
      </c>
      <c r="M202" s="65" t="s">
        <v>648</v>
      </c>
    </row>
    <row r="203" spans="1:13" x14ac:dyDescent="0.25">
      <c r="A203" s="66" t="s">
        <v>198</v>
      </c>
      <c r="B203" s="66">
        <v>202</v>
      </c>
      <c r="C203" s="64">
        <f>'Arbeidsark-K'!U204*Vekting!$B$3</f>
        <v>4</v>
      </c>
      <c r="D203" s="64">
        <f>'Arbeidsark-K'!V204*Vekting!$C$3</f>
        <v>1.361700981827608</v>
      </c>
      <c r="E203" s="64">
        <f>'Arbeidsark-K'!W204*Vekting!$D$3</f>
        <v>0.24141322463617032</v>
      </c>
      <c r="F203" s="64">
        <f>'Arbeidsark-K'!X204*Vekting!$E$3</f>
        <v>8.9402135704868808</v>
      </c>
      <c r="G203" s="64">
        <f>'Arbeidsark-K'!Y204*Vekting!$F$3</f>
        <v>2.3090286736867256</v>
      </c>
      <c r="H203" s="64">
        <f>'Arbeidsark-K'!Z204*Vekting!$G$3</f>
        <v>0</v>
      </c>
      <c r="I203" s="64">
        <f>'Arbeidsark-K'!AA204*Vekting!$H$3</f>
        <v>0</v>
      </c>
      <c r="J203" s="64">
        <f>'Arbeidsark-K'!AB204*Vekting!$I$3</f>
        <v>8.1061986757435189</v>
      </c>
      <c r="K203" s="64">
        <f>'Arbeidsark-K'!AC204*Vekting!$J$3</f>
        <v>2.4291902699100305</v>
      </c>
      <c r="L203" s="63">
        <f t="shared" si="3"/>
        <v>27.387745396290939</v>
      </c>
      <c r="M203" s="65" t="s">
        <v>649</v>
      </c>
    </row>
    <row r="204" spans="1:13" x14ac:dyDescent="0.25">
      <c r="A204" s="66" t="s">
        <v>199</v>
      </c>
      <c r="B204" s="66">
        <v>203</v>
      </c>
      <c r="C204" s="64">
        <f>'Arbeidsark-K'!U205*Vekting!$B$3</f>
        <v>8</v>
      </c>
      <c r="D204" s="64">
        <f>'Arbeidsark-K'!V205*Vekting!$C$3</f>
        <v>0.85008700803436088</v>
      </c>
      <c r="E204" s="64">
        <f>'Arbeidsark-K'!W205*Vekting!$D$3</f>
        <v>0.23119436290447767</v>
      </c>
      <c r="F204" s="64">
        <f>'Arbeidsark-K'!X205*Vekting!$E$3</f>
        <v>3.1441993478928967</v>
      </c>
      <c r="G204" s="64">
        <f>'Arbeidsark-K'!Y205*Vekting!$F$3</f>
        <v>2.3562135868977987</v>
      </c>
      <c r="H204" s="64">
        <f>'Arbeidsark-K'!Z205*Vekting!$G$3</f>
        <v>1.4647584501819739</v>
      </c>
      <c r="I204" s="64">
        <f>'Arbeidsark-K'!AA205*Vekting!$H$3</f>
        <v>2.9017437347952129</v>
      </c>
      <c r="J204" s="64">
        <f>'Arbeidsark-K'!AB205*Vekting!$I$3</f>
        <v>3.1403003523540578</v>
      </c>
      <c r="K204" s="64">
        <f>'Arbeidsark-K'!AC205*Vekting!$J$3</f>
        <v>5.0061090747528603</v>
      </c>
      <c r="L204" s="63">
        <f t="shared" si="3"/>
        <v>27.094605917813638</v>
      </c>
      <c r="M204" s="65" t="s">
        <v>650</v>
      </c>
    </row>
    <row r="205" spans="1:13" x14ac:dyDescent="0.25">
      <c r="A205" s="66" t="s">
        <v>200</v>
      </c>
      <c r="B205" s="66">
        <v>204</v>
      </c>
      <c r="C205" s="64">
        <f>'Arbeidsark-K'!U206*Vekting!$B$3</f>
        <v>8</v>
      </c>
      <c r="D205" s="64">
        <f>'Arbeidsark-K'!V206*Vekting!$C$3</f>
        <v>0.59697272626296471</v>
      </c>
      <c r="E205" s="64">
        <f>'Arbeidsark-K'!W206*Vekting!$D$3</f>
        <v>8.7143798188718341E-2</v>
      </c>
      <c r="F205" s="64">
        <f>'Arbeidsark-K'!X206*Vekting!$E$3</f>
        <v>3.7141151435534483</v>
      </c>
      <c r="G205" s="64">
        <f>'Arbeidsark-K'!Y206*Vekting!$F$3</f>
        <v>1.8908847134651727</v>
      </c>
      <c r="H205" s="64">
        <f>'Arbeidsark-K'!Z206*Vekting!$G$3</f>
        <v>0.80135536143691866</v>
      </c>
      <c r="I205" s="64">
        <f>'Arbeidsark-K'!AA206*Vekting!$H$3</f>
        <v>0</v>
      </c>
      <c r="J205" s="64">
        <f>'Arbeidsark-K'!AB206*Vekting!$I$3</f>
        <v>8.5387448095180485</v>
      </c>
      <c r="K205" s="64">
        <f>'Arbeidsark-K'!AC206*Vekting!$J$3</f>
        <v>2.4736199044762857</v>
      </c>
      <c r="L205" s="63">
        <f t="shared" si="3"/>
        <v>26.102836456901557</v>
      </c>
      <c r="M205" s="65" t="s">
        <v>651</v>
      </c>
    </row>
    <row r="206" spans="1:13" x14ac:dyDescent="0.25">
      <c r="A206" s="66" t="s">
        <v>201</v>
      </c>
      <c r="B206" s="66">
        <v>205</v>
      </c>
      <c r="C206" s="64">
        <f>'Arbeidsark-K'!U207*Vekting!$B$3</f>
        <v>4</v>
      </c>
      <c r="D206" s="64">
        <f>'Arbeidsark-K'!V207*Vekting!$C$3</f>
        <v>1.6255860840999146</v>
      </c>
      <c r="E206" s="64">
        <f>'Arbeidsark-K'!W207*Vekting!$D$3</f>
        <v>0</v>
      </c>
      <c r="F206" s="64">
        <f>'Arbeidsark-K'!X207*Vekting!$E$3</f>
        <v>5.2626849933125106</v>
      </c>
      <c r="G206" s="64">
        <f>'Arbeidsark-K'!Y207*Vekting!$F$3</f>
        <v>2.0342779378308431</v>
      </c>
      <c r="H206" s="64">
        <f>'Arbeidsark-K'!Z207*Vekting!$G$3</f>
        <v>2.0150736395746409</v>
      </c>
      <c r="I206" s="64">
        <f>'Arbeidsark-K'!AA207*Vekting!$H$3</f>
        <v>1.8682236104355754</v>
      </c>
      <c r="J206" s="64">
        <f>'Arbeidsark-K'!AB207*Vekting!$I$3</f>
        <v>9.9388960072542023</v>
      </c>
      <c r="K206" s="64">
        <f>'Arbeidsark-K'!AC207*Vekting!$J$3</f>
        <v>9.1713873153393308</v>
      </c>
      <c r="L206" s="63">
        <f t="shared" si="3"/>
        <v>35.916129587847017</v>
      </c>
      <c r="M206" s="65" t="s">
        <v>652</v>
      </c>
    </row>
    <row r="207" spans="1:13" x14ac:dyDescent="0.25">
      <c r="A207" s="66" t="s">
        <v>202</v>
      </c>
      <c r="B207" s="66">
        <v>206</v>
      </c>
      <c r="C207" s="64">
        <f>'Arbeidsark-K'!U208*Vekting!$B$3</f>
        <v>10</v>
      </c>
      <c r="D207" s="64">
        <f>'Arbeidsark-K'!V208*Vekting!$C$3</f>
        <v>0.78276937990367035</v>
      </c>
      <c r="E207" s="64">
        <f>'Arbeidsark-K'!W208*Vekting!$D$3</f>
        <v>2.3927232670889965E-2</v>
      </c>
      <c r="F207" s="64">
        <f>'Arbeidsark-K'!X208*Vekting!$E$3</f>
        <v>4.2430908354451446</v>
      </c>
      <c r="G207" s="64">
        <f>'Arbeidsark-K'!Y208*Vekting!$F$3</f>
        <v>1.4367427774105026</v>
      </c>
      <c r="H207" s="64">
        <f>'Arbeidsark-K'!Z208*Vekting!$G$3</f>
        <v>0.29798336998394703</v>
      </c>
      <c r="I207" s="64">
        <f>'Arbeidsark-K'!AA208*Vekting!$H$3</f>
        <v>0</v>
      </c>
      <c r="J207" s="64">
        <f>'Arbeidsark-K'!AB208*Vekting!$I$3</f>
        <v>6.6992606824786538</v>
      </c>
      <c r="K207" s="64">
        <f>'Arbeidsark-K'!AC208*Vekting!$J$3</f>
        <v>0.66311229590136667</v>
      </c>
      <c r="L207" s="63">
        <f t="shared" si="3"/>
        <v>24.146886573794173</v>
      </c>
      <c r="M207" s="65" t="s">
        <v>653</v>
      </c>
    </row>
    <row r="208" spans="1:13" x14ac:dyDescent="0.25">
      <c r="A208" s="66" t="s">
        <v>203</v>
      </c>
      <c r="B208" s="66">
        <v>207</v>
      </c>
      <c r="C208" s="64">
        <f>'Arbeidsark-K'!U209*Vekting!$B$3</f>
        <v>10</v>
      </c>
      <c r="D208" s="64">
        <f>'Arbeidsark-K'!V209*Vekting!$C$3</f>
        <v>1.200138674313951</v>
      </c>
      <c r="E208" s="64">
        <f>'Arbeidsark-K'!W209*Vekting!$D$3</f>
        <v>0.23629907739522482</v>
      </c>
      <c r="F208" s="64">
        <f>'Arbeidsark-K'!X209*Vekting!$E$3</f>
        <v>0.81767477213096817</v>
      </c>
      <c r="G208" s="64">
        <f>'Arbeidsark-K'!Y209*Vekting!$F$3</f>
        <v>2.7046758420999266</v>
      </c>
      <c r="H208" s="64">
        <f>'Arbeidsark-K'!Z209*Vekting!$G$3</f>
        <v>0.29415025033835457</v>
      </c>
      <c r="I208" s="64">
        <f>'Arbeidsark-K'!AA209*Vekting!$H$3</f>
        <v>0</v>
      </c>
      <c r="J208" s="64">
        <f>'Arbeidsark-K'!AB209*Vekting!$I$3</f>
        <v>10</v>
      </c>
      <c r="K208" s="64">
        <f>'Arbeidsark-K'!AC209*Vekting!$J$3</f>
        <v>2.3292235921359548</v>
      </c>
      <c r="L208" s="63">
        <f t="shared" si="3"/>
        <v>27.582162208414378</v>
      </c>
      <c r="M208" s="65" t="s">
        <v>654</v>
      </c>
    </row>
    <row r="209" spans="1:13" x14ac:dyDescent="0.25">
      <c r="A209" s="66" t="s">
        <v>204</v>
      </c>
      <c r="B209" s="66">
        <v>208</v>
      </c>
      <c r="C209" s="64">
        <f>'Arbeidsark-K'!U210*Vekting!$B$3</f>
        <v>10</v>
      </c>
      <c r="D209" s="64">
        <f>'Arbeidsark-K'!V210*Vekting!$C$3</f>
        <v>2.1358537053305482</v>
      </c>
      <c r="E209" s="64">
        <f>'Arbeidsark-K'!W210*Vekting!$D$3</f>
        <v>0.50620783064434249</v>
      </c>
      <c r="F209" s="64">
        <f>'Arbeidsark-K'!X210*Vekting!$E$3</f>
        <v>9.2473363169668836</v>
      </c>
      <c r="G209" s="64">
        <f>'Arbeidsark-K'!Y210*Vekting!$F$3</f>
        <v>3.0750495528784918</v>
      </c>
      <c r="H209" s="64">
        <f>'Arbeidsark-K'!Z210*Vekting!$G$3</f>
        <v>2.1368829527812716</v>
      </c>
      <c r="I209" s="64">
        <f>'Arbeidsark-K'!AA210*Vekting!$H$3</f>
        <v>7.4212158735033498</v>
      </c>
      <c r="J209" s="64">
        <f>'Arbeidsark-K'!AB210*Vekting!$I$3</f>
        <v>9.2630380050971706</v>
      </c>
      <c r="K209" s="64">
        <f>'Arbeidsark-K'!AC210*Vekting!$J$3</f>
        <v>4.9172498056203491</v>
      </c>
      <c r="L209" s="63">
        <f t="shared" si="3"/>
        <v>48.70283404282241</v>
      </c>
      <c r="M209" s="65" t="s">
        <v>655</v>
      </c>
    </row>
    <row r="210" spans="1:13" x14ac:dyDescent="0.25">
      <c r="A210" s="66" t="s">
        <v>205</v>
      </c>
      <c r="B210" s="66">
        <v>209</v>
      </c>
      <c r="C210" s="64">
        <f>'Arbeidsark-K'!U211*Vekting!$B$3</f>
        <v>12</v>
      </c>
      <c r="D210" s="64">
        <f>'Arbeidsark-K'!V211*Vekting!$C$3</f>
        <v>2.9854021723398616</v>
      </c>
      <c r="E210" s="64">
        <f>'Arbeidsark-K'!W211*Vekting!$D$3</f>
        <v>0.92545885584513032</v>
      </c>
      <c r="F210" s="64">
        <f>'Arbeidsark-K'!X211*Vekting!$E$3</f>
        <v>6.718136309829851</v>
      </c>
      <c r="G210" s="64">
        <f>'Arbeidsark-K'!Y211*Vekting!$F$3</f>
        <v>1.5934923073813658</v>
      </c>
      <c r="H210" s="64">
        <f>'Arbeidsark-K'!Z211*Vekting!$G$3</f>
        <v>1.7325796618520994</v>
      </c>
      <c r="I210" s="64">
        <f>'Arbeidsark-K'!AA211*Vekting!$H$3</f>
        <v>1.7061397786287515</v>
      </c>
      <c r="J210" s="64">
        <f>'Arbeidsark-K'!AB211*Vekting!$I$3</f>
        <v>7.1408379062316145</v>
      </c>
      <c r="K210" s="64">
        <f>'Arbeidsark-K'!AC211*Vekting!$J$3</f>
        <v>5.0838609352438082</v>
      </c>
      <c r="L210" s="63">
        <f t="shared" si="3"/>
        <v>39.885907927352484</v>
      </c>
      <c r="M210" s="65" t="s">
        <v>656</v>
      </c>
    </row>
    <row r="211" spans="1:13" x14ac:dyDescent="0.25">
      <c r="A211" s="66" t="s">
        <v>206</v>
      </c>
      <c r="B211" s="66">
        <v>210</v>
      </c>
      <c r="C211" s="64">
        <f>'Arbeidsark-K'!U212*Vekting!$B$3</f>
        <v>20</v>
      </c>
      <c r="D211" s="64">
        <f>'Arbeidsark-K'!V212*Vekting!$C$3</f>
        <v>3.1550425952292009</v>
      </c>
      <c r="E211" s="64">
        <f>'Arbeidsark-K'!W212*Vekting!$D$3</f>
        <v>0.67548213073878438</v>
      </c>
      <c r="F211" s="64">
        <f>'Arbeidsark-K'!X212*Vekting!$E$3</f>
        <v>8.0529289635799923</v>
      </c>
      <c r="G211" s="64">
        <f>'Arbeidsark-K'!Y212*Vekting!$F$3</f>
        <v>1.1790726484817975</v>
      </c>
      <c r="H211" s="64">
        <f>'Arbeidsark-K'!Z212*Vekting!$G$3</f>
        <v>2.4328925282150924</v>
      </c>
      <c r="I211" s="64">
        <f>'Arbeidsark-K'!AA212*Vekting!$H$3</f>
        <v>6.2297300367302713</v>
      </c>
      <c r="J211" s="64">
        <f>'Arbeidsark-K'!AB212*Vekting!$I$3</f>
        <v>8.6639519979830872</v>
      </c>
      <c r="K211" s="64">
        <f>'Arbeidsark-K'!AC212*Vekting!$J$3</f>
        <v>8.5493724314117525</v>
      </c>
      <c r="L211" s="63">
        <f t="shared" si="3"/>
        <v>58.938473332369981</v>
      </c>
      <c r="M211" s="65" t="s">
        <v>657</v>
      </c>
    </row>
    <row r="212" spans="1:13" x14ac:dyDescent="0.25">
      <c r="A212" s="66" t="s">
        <v>207</v>
      </c>
      <c r="B212" s="66">
        <v>211</v>
      </c>
      <c r="C212" s="64">
        <f>'Arbeidsark-K'!U213*Vekting!$B$3</f>
        <v>20</v>
      </c>
      <c r="D212" s="64">
        <f>'Arbeidsark-K'!V213*Vekting!$C$3</f>
        <v>3.8928437995415681</v>
      </c>
      <c r="E212" s="64">
        <f>'Arbeidsark-K'!W213*Vekting!$D$3</f>
        <v>0.59633573167020304</v>
      </c>
      <c r="F212" s="64">
        <f>'Arbeidsark-K'!X213*Vekting!$E$3</f>
        <v>9.6407517424599174</v>
      </c>
      <c r="G212" s="64">
        <f>'Arbeidsark-K'!Y213*Vekting!$F$3</f>
        <v>3.6778247944368845</v>
      </c>
      <c r="H212" s="64">
        <f>'Arbeidsark-K'!Z213*Vekting!$G$3</f>
        <v>2.8158255059858317</v>
      </c>
      <c r="I212" s="64">
        <f>'Arbeidsark-K'!AA213*Vekting!$H$3</f>
        <v>4.2247619500157674</v>
      </c>
      <c r="J212" s="64">
        <f>'Arbeidsark-K'!AB213*Vekting!$I$3</f>
        <v>3.8262211937808526</v>
      </c>
      <c r="K212" s="64">
        <f>'Arbeidsark-K'!AC213*Vekting!$J$3</f>
        <v>7.1054093080084417</v>
      </c>
      <c r="L212" s="63">
        <f t="shared" si="3"/>
        <v>55.77997402589947</v>
      </c>
      <c r="M212" s="65" t="s">
        <v>658</v>
      </c>
    </row>
    <row r="213" spans="1:13" x14ac:dyDescent="0.25">
      <c r="A213" s="66" t="s">
        <v>208</v>
      </c>
      <c r="B213" s="66">
        <v>212</v>
      </c>
      <c r="C213" s="64">
        <f>'Arbeidsark-K'!U214*Vekting!$B$3</f>
        <v>20</v>
      </c>
      <c r="D213" s="64">
        <f>'Arbeidsark-K'!V214*Vekting!$C$3</f>
        <v>4.691230869171557</v>
      </c>
      <c r="E213" s="64">
        <f>'Arbeidsark-K'!W214*Vekting!$D$3</f>
        <v>10</v>
      </c>
      <c r="F213" s="64">
        <f>'Arbeidsark-K'!X214*Vekting!$E$3</f>
        <v>20</v>
      </c>
      <c r="G213" s="64">
        <f>'Arbeidsark-K'!Y214*Vekting!$F$3</f>
        <v>5</v>
      </c>
      <c r="H213" s="64">
        <f>'Arbeidsark-K'!Z214*Vekting!$G$3</f>
        <v>5</v>
      </c>
      <c r="I213" s="64">
        <f>'Arbeidsark-K'!AA214*Vekting!$H$3</f>
        <v>6.6970984704898378</v>
      </c>
      <c r="J213" s="64">
        <f>'Arbeidsark-K'!AB214*Vekting!$I$3</f>
        <v>4.1519132898919757</v>
      </c>
      <c r="K213" s="64">
        <f>'Arbeidsark-K'!AC214*Vekting!$J$3</f>
        <v>10</v>
      </c>
      <c r="L213" s="63">
        <f t="shared" si="3"/>
        <v>85.540242629553376</v>
      </c>
      <c r="M213" s="65" t="s">
        <v>659</v>
      </c>
    </row>
    <row r="214" spans="1:13" x14ac:dyDescent="0.25">
      <c r="A214" s="66" t="s">
        <v>209</v>
      </c>
      <c r="B214" s="66">
        <v>213</v>
      </c>
      <c r="C214" s="64">
        <f>'Arbeidsark-K'!U215*Vekting!$B$3</f>
        <v>12</v>
      </c>
      <c r="D214" s="64">
        <f>'Arbeidsark-K'!V215*Vekting!$C$3</f>
        <v>2.5855354612435604</v>
      </c>
      <c r="E214" s="64">
        <f>'Arbeidsark-K'!W215*Vekting!$D$3</f>
        <v>3.1865730839246282</v>
      </c>
      <c r="F214" s="64">
        <f>'Arbeidsark-K'!X215*Vekting!$E$3</f>
        <v>19.753750629778086</v>
      </c>
      <c r="G214" s="64">
        <f>'Arbeidsark-K'!Y215*Vekting!$F$3</f>
        <v>4.6460870689117639</v>
      </c>
      <c r="H214" s="64">
        <f>'Arbeidsark-K'!Z215*Vekting!$G$3</f>
        <v>4.3612324271375682</v>
      </c>
      <c r="I214" s="64">
        <f>'Arbeidsark-K'!AA215*Vekting!$H$3</f>
        <v>10</v>
      </c>
      <c r="J214" s="64">
        <f>'Arbeidsark-K'!AB215*Vekting!$I$3</f>
        <v>9.4391155126116306</v>
      </c>
      <c r="K214" s="64">
        <f>'Arbeidsark-K'!AC215*Vekting!$J$3</f>
        <v>10</v>
      </c>
      <c r="L214" s="63">
        <f t="shared" si="3"/>
        <v>75.972294183607232</v>
      </c>
      <c r="M214" s="65" t="s">
        <v>660</v>
      </c>
    </row>
    <row r="215" spans="1:13" x14ac:dyDescent="0.25">
      <c r="A215" s="66" t="s">
        <v>210</v>
      </c>
      <c r="B215" s="66">
        <v>214</v>
      </c>
      <c r="C215" s="64">
        <f>'Arbeidsark-K'!U216*Vekting!$B$3</f>
        <v>20</v>
      </c>
      <c r="D215" s="64">
        <f>'Arbeidsark-K'!V216*Vekting!$C$3</f>
        <v>4.4502337604636848</v>
      </c>
      <c r="E215" s="64">
        <f>'Arbeidsark-K'!W216*Vekting!$D$3</f>
        <v>5.1918547005487028</v>
      </c>
      <c r="F215" s="64">
        <f>'Arbeidsark-K'!X216*Vekting!$E$3</f>
        <v>20</v>
      </c>
      <c r="G215" s="64">
        <f>'Arbeidsark-K'!Y216*Vekting!$F$3</f>
        <v>4.9279848991302488</v>
      </c>
      <c r="H215" s="64">
        <f>'Arbeidsark-K'!Z216*Vekting!$G$3</f>
        <v>5</v>
      </c>
      <c r="I215" s="64">
        <f>'Arbeidsark-K'!AA216*Vekting!$H$3</f>
        <v>8.461366948710852</v>
      </c>
      <c r="J215" s="64">
        <f>'Arbeidsark-K'!AB216*Vekting!$I$3</f>
        <v>1.2541378707164128</v>
      </c>
      <c r="K215" s="64">
        <f>'Arbeidsark-K'!AC216*Vekting!$J$3</f>
        <v>7.5497056536709994</v>
      </c>
      <c r="L215" s="63">
        <f t="shared" si="3"/>
        <v>76.835283833240908</v>
      </c>
      <c r="M215" s="65" t="s">
        <v>661</v>
      </c>
    </row>
    <row r="216" spans="1:13" x14ac:dyDescent="0.25">
      <c r="A216" s="66" t="s">
        <v>211</v>
      </c>
      <c r="B216" s="66">
        <v>215</v>
      </c>
      <c r="C216" s="64">
        <f>'Arbeidsark-K'!U217*Vekting!$B$3</f>
        <v>20</v>
      </c>
      <c r="D216" s="64">
        <f>'Arbeidsark-K'!V217*Vekting!$C$3</f>
        <v>5.1180246315201341</v>
      </c>
      <c r="E216" s="64">
        <f>'Arbeidsark-K'!W217*Vekting!$D$3</f>
        <v>10</v>
      </c>
      <c r="F216" s="64">
        <f>'Arbeidsark-K'!X217*Vekting!$E$3</f>
        <v>20</v>
      </c>
      <c r="G216" s="64">
        <f>'Arbeidsark-K'!Y217*Vekting!$F$3</f>
        <v>5</v>
      </c>
      <c r="H216" s="64">
        <f>'Arbeidsark-K'!Z217*Vekting!$G$3</f>
        <v>5</v>
      </c>
      <c r="I216" s="64">
        <f>'Arbeidsark-K'!AA217*Vekting!$H$3</f>
        <v>10</v>
      </c>
      <c r="J216" s="64">
        <f>'Arbeidsark-K'!AB217*Vekting!$I$3</f>
        <v>3.1197854492017827</v>
      </c>
      <c r="K216" s="64">
        <f>'Arbeidsark-K'!AC217*Vekting!$J$3</f>
        <v>10</v>
      </c>
      <c r="L216" s="63">
        <f t="shared" si="3"/>
        <v>88.237810080721928</v>
      </c>
      <c r="M216" s="65" t="s">
        <v>512</v>
      </c>
    </row>
    <row r="217" spans="1:13" x14ac:dyDescent="0.25">
      <c r="A217" s="66" t="s">
        <v>212</v>
      </c>
      <c r="B217" s="66">
        <v>216</v>
      </c>
      <c r="C217" s="64">
        <f>'Arbeidsark-K'!U218*Vekting!$B$3</f>
        <v>20</v>
      </c>
      <c r="D217" s="64">
        <f>'Arbeidsark-K'!V218*Vekting!$C$3</f>
        <v>5.1638006186490033</v>
      </c>
      <c r="E217" s="64">
        <f>'Arbeidsark-K'!W218*Vekting!$D$3</f>
        <v>10</v>
      </c>
      <c r="F217" s="64">
        <f>'Arbeidsark-K'!X218*Vekting!$E$3</f>
        <v>20</v>
      </c>
      <c r="G217" s="64">
        <f>'Arbeidsark-K'!Y218*Vekting!$F$3</f>
        <v>5</v>
      </c>
      <c r="H217" s="64">
        <f>'Arbeidsark-K'!Z218*Vekting!$G$3</f>
        <v>5</v>
      </c>
      <c r="I217" s="64">
        <f>'Arbeidsark-K'!AA218*Vekting!$H$3</f>
        <v>10</v>
      </c>
      <c r="J217" s="64">
        <f>'Arbeidsark-K'!AB218*Vekting!$I$3</f>
        <v>4.2198936210208196</v>
      </c>
      <c r="K217" s="64">
        <f>'Arbeidsark-K'!AC218*Vekting!$J$3</f>
        <v>8.6160168832611355</v>
      </c>
      <c r="L217" s="63">
        <f t="shared" si="3"/>
        <v>87.999711122930961</v>
      </c>
      <c r="M217" s="65" t="s">
        <v>662</v>
      </c>
    </row>
    <row r="218" spans="1:13" x14ac:dyDescent="0.25">
      <c r="A218" s="66" t="s">
        <v>213</v>
      </c>
      <c r="B218" s="66">
        <v>217</v>
      </c>
      <c r="C218" s="64">
        <f>'Arbeidsark-K'!U219*Vekting!$B$3</f>
        <v>20</v>
      </c>
      <c r="D218" s="64">
        <f>'Arbeidsark-K'!V219*Vekting!$C$3</f>
        <v>3.488938030757426</v>
      </c>
      <c r="E218" s="64">
        <f>'Arbeidsark-K'!W219*Vekting!$D$3</f>
        <v>0.33672979867352526</v>
      </c>
      <c r="F218" s="64">
        <f>'Arbeidsark-K'!X219*Vekting!$E$3</f>
        <v>5.3080162733078229</v>
      </c>
      <c r="G218" s="64">
        <f>'Arbeidsark-K'!Y219*Vekting!$F$3</f>
        <v>2.8915767446738649</v>
      </c>
      <c r="H218" s="64">
        <f>'Arbeidsark-K'!Z219*Vekting!$G$3</f>
        <v>1.7862726301870098</v>
      </c>
      <c r="I218" s="64">
        <f>'Arbeidsark-K'!AA219*Vekting!$H$3</f>
        <v>0</v>
      </c>
      <c r="J218" s="64">
        <f>'Arbeidsark-K'!AB219*Vekting!$I$3</f>
        <v>1.0963307360254901</v>
      </c>
      <c r="K218" s="64">
        <f>'Arbeidsark-K'!AC219*Vekting!$J$3</f>
        <v>1.7627457514161948</v>
      </c>
      <c r="L218" s="63">
        <f t="shared" si="3"/>
        <v>36.670609965041329</v>
      </c>
      <c r="M218" s="65" t="s">
        <v>663</v>
      </c>
    </row>
    <row r="219" spans="1:13" x14ac:dyDescent="0.25">
      <c r="A219" s="66" t="s">
        <v>214</v>
      </c>
      <c r="B219" s="66">
        <v>218</v>
      </c>
      <c r="C219" s="64">
        <f>'Arbeidsark-K'!U220*Vekting!$B$3</f>
        <v>12</v>
      </c>
      <c r="D219" s="64">
        <f>'Arbeidsark-K'!V220*Vekting!$C$3</f>
        <v>2.3418456474104605</v>
      </c>
      <c r="E219" s="64">
        <f>'Arbeidsark-K'!W220*Vekting!$D$3</f>
        <v>0</v>
      </c>
      <c r="F219" s="64">
        <f>'Arbeidsark-K'!X220*Vekting!$E$3</f>
        <v>11.231959001156621</v>
      </c>
      <c r="G219" s="64">
        <f>'Arbeidsark-K'!Y220*Vekting!$F$3</f>
        <v>3.2971117388371285</v>
      </c>
      <c r="H219" s="64">
        <f>'Arbeidsark-K'!Z220*Vekting!$G$3</f>
        <v>3.2979673548234829</v>
      </c>
      <c r="I219" s="64">
        <f>'Arbeidsark-K'!AA220*Vekting!$H$3</f>
        <v>5.851660001965179</v>
      </c>
      <c r="J219" s="64">
        <f>'Arbeidsark-K'!AB220*Vekting!$I$3</f>
        <v>2.2048902985057768</v>
      </c>
      <c r="K219" s="64">
        <f>'Arbeidsark-K'!AC220*Vekting!$J$3</f>
        <v>9.8822614683994221</v>
      </c>
      <c r="L219" s="63">
        <f t="shared" si="3"/>
        <v>50.107695511098065</v>
      </c>
      <c r="M219" s="65" t="s">
        <v>664</v>
      </c>
    </row>
    <row r="220" spans="1:13" x14ac:dyDescent="0.25">
      <c r="A220" s="66" t="s">
        <v>215</v>
      </c>
      <c r="B220" s="66">
        <v>219</v>
      </c>
      <c r="C220" s="64">
        <f>'Arbeidsark-K'!U221*Vekting!$B$3</f>
        <v>20</v>
      </c>
      <c r="D220" s="64">
        <f>'Arbeidsark-K'!V221*Vekting!$C$3</f>
        <v>4.1526898441260327</v>
      </c>
      <c r="E220" s="64">
        <f>'Arbeidsark-K'!W221*Vekting!$D$3</f>
        <v>2.2518866821912824</v>
      </c>
      <c r="F220" s="64">
        <f>'Arbeidsark-K'!X221*Vekting!$E$3</f>
        <v>14.768729038031232</v>
      </c>
      <c r="G220" s="64">
        <f>'Arbeidsark-K'!Y221*Vekting!$F$3</f>
        <v>4.0697077748988422</v>
      </c>
      <c r="H220" s="64">
        <f>'Arbeidsark-K'!Z221*Vekting!$G$3</f>
        <v>3.6624864394987551</v>
      </c>
      <c r="I220" s="64">
        <f>'Arbeidsark-K'!AA221*Vekting!$H$3</f>
        <v>5.9858142598842905</v>
      </c>
      <c r="J220" s="64">
        <f>'Arbeidsark-K'!AB221*Vekting!$I$3</f>
        <v>6.7072882720621472</v>
      </c>
      <c r="K220" s="64">
        <f>'Arbeidsark-K'!AC221*Vekting!$J$3</f>
        <v>4.683994224147507</v>
      </c>
      <c r="L220" s="63">
        <f t="shared" si="3"/>
        <v>66.28259653484011</v>
      </c>
      <c r="M220" s="65" t="s">
        <v>665</v>
      </c>
    </row>
    <row r="221" spans="1:13" x14ac:dyDescent="0.25">
      <c r="A221" s="66" t="s">
        <v>216</v>
      </c>
      <c r="B221" s="66">
        <v>220</v>
      </c>
      <c r="C221" s="64">
        <f>'Arbeidsark-K'!U222*Vekting!$B$3</f>
        <v>20</v>
      </c>
      <c r="D221" s="64">
        <f>'Arbeidsark-K'!V222*Vekting!$C$3</f>
        <v>4.2253928825071787</v>
      </c>
      <c r="E221" s="64">
        <f>'Arbeidsark-K'!W222*Vekting!$D$3</f>
        <v>6.3644007724200549</v>
      </c>
      <c r="F221" s="64">
        <f>'Arbeidsark-K'!X222*Vekting!$E$3</f>
        <v>20</v>
      </c>
      <c r="G221" s="64">
        <f>'Arbeidsark-K'!Y222*Vekting!$F$3</f>
        <v>5</v>
      </c>
      <c r="H221" s="64">
        <f>'Arbeidsark-K'!Z222*Vekting!$G$3</f>
        <v>5</v>
      </c>
      <c r="I221" s="64">
        <f>'Arbeidsark-K'!AA222*Vekting!$H$3</f>
        <v>10</v>
      </c>
      <c r="J221" s="64">
        <f>'Arbeidsark-K'!AB222*Vekting!$I$3</f>
        <v>4.8898607268753151</v>
      </c>
      <c r="K221" s="64">
        <f>'Arbeidsark-K'!AC222*Vekting!$J$3</f>
        <v>8.2939020326557813</v>
      </c>
      <c r="L221" s="63">
        <f t="shared" si="3"/>
        <v>83.773556414458326</v>
      </c>
      <c r="M221" s="65" t="s">
        <v>666</v>
      </c>
    </row>
    <row r="222" spans="1:13" x14ac:dyDescent="0.25">
      <c r="A222" s="66" t="s">
        <v>217</v>
      </c>
      <c r="B222" s="66">
        <v>221</v>
      </c>
      <c r="C222" s="64">
        <f>'Arbeidsark-K'!U223*Vekting!$B$3</f>
        <v>20</v>
      </c>
      <c r="D222" s="64">
        <f>'Arbeidsark-K'!V223*Vekting!$C$3</f>
        <v>3.7326278445905245</v>
      </c>
      <c r="E222" s="64">
        <f>'Arbeidsark-K'!W223*Vekting!$D$3</f>
        <v>5.3887448193935716</v>
      </c>
      <c r="F222" s="64">
        <f>'Arbeidsark-K'!X223*Vekting!$E$3</f>
        <v>20</v>
      </c>
      <c r="G222" s="64">
        <f>'Arbeidsark-K'!Y223*Vekting!$F$3</f>
        <v>3.6084512649552991</v>
      </c>
      <c r="H222" s="64">
        <f>'Arbeidsark-K'!Z223*Vekting!$G$3</f>
        <v>4.7394386551284944</v>
      </c>
      <c r="I222" s="64">
        <f>'Arbeidsark-K'!AA223*Vekting!$H$3</f>
        <v>10</v>
      </c>
      <c r="J222" s="64">
        <f>'Arbeidsark-K'!AB223*Vekting!$I$3</f>
        <v>0</v>
      </c>
      <c r="K222" s="64">
        <f>'Arbeidsark-K'!AC223*Vekting!$J$3</f>
        <v>8.427190936354549</v>
      </c>
      <c r="L222" s="63">
        <f t="shared" si="3"/>
        <v>75.89645352042244</v>
      </c>
      <c r="M222" s="65" t="s">
        <v>667</v>
      </c>
    </row>
    <row r="223" spans="1:13" x14ac:dyDescent="0.25">
      <c r="A223" s="66" t="s">
        <v>218</v>
      </c>
      <c r="B223" s="66">
        <v>222</v>
      </c>
      <c r="C223" s="64">
        <f>'Arbeidsark-K'!U224*Vekting!$B$3</f>
        <v>20</v>
      </c>
      <c r="D223" s="64">
        <f>'Arbeidsark-K'!V224*Vekting!$C$3</f>
        <v>3.3192976078680858</v>
      </c>
      <c r="E223" s="64">
        <f>'Arbeidsark-K'!W224*Vekting!$D$3</f>
        <v>3.3367604537049971</v>
      </c>
      <c r="F223" s="64">
        <f>'Arbeidsark-K'!X224*Vekting!$E$3</f>
        <v>13.390914266186901</v>
      </c>
      <c r="G223" s="64">
        <f>'Arbeidsark-K'!Y224*Vekting!$F$3</f>
        <v>2.9850410075767808</v>
      </c>
      <c r="H223" s="64">
        <f>'Arbeidsark-K'!Z224*Vekting!$G$3</f>
        <v>3.6778385310546895</v>
      </c>
      <c r="I223" s="64">
        <f>'Arbeidsark-K'!AA224*Vekting!$H$3</f>
        <v>1.6665059695098039</v>
      </c>
      <c r="J223" s="64">
        <f>'Arbeidsark-K'!AB224*Vekting!$I$3</f>
        <v>2.6605134394615377</v>
      </c>
      <c r="K223" s="64">
        <f>'Arbeidsark-K'!AC224*Vekting!$J$3</f>
        <v>4.8617127624125294</v>
      </c>
      <c r="L223" s="63">
        <f t="shared" si="3"/>
        <v>55.898584037775336</v>
      </c>
      <c r="M223" s="65" t="s">
        <v>668</v>
      </c>
    </row>
    <row r="224" spans="1:13" x14ac:dyDescent="0.25">
      <c r="A224" s="66" t="s">
        <v>219</v>
      </c>
      <c r="B224" s="66">
        <v>223</v>
      </c>
      <c r="C224" s="64">
        <f>'Arbeidsark-K'!U225*Vekting!$B$3</f>
        <v>20</v>
      </c>
      <c r="D224" s="64">
        <f>'Arbeidsark-K'!V225*Vekting!$C$3</f>
        <v>4.1917340684418338</v>
      </c>
      <c r="E224" s="64">
        <f>'Arbeidsark-K'!W225*Vekting!$D$3</f>
        <v>2.3755244827678541</v>
      </c>
      <c r="F224" s="64">
        <f>'Arbeidsark-K'!X225*Vekting!$E$3</f>
        <v>18.241441337052503</v>
      </c>
      <c r="G224" s="64">
        <f>'Arbeidsark-K'!Y225*Vekting!$F$3</f>
        <v>3.5891250070682896</v>
      </c>
      <c r="H224" s="64">
        <f>'Arbeidsark-K'!Z225*Vekting!$G$3</f>
        <v>4.1774386216091886</v>
      </c>
      <c r="I224" s="64">
        <f>'Arbeidsark-K'!AA225*Vekting!$H$3</f>
        <v>8.2008002976956842</v>
      </c>
      <c r="J224" s="64">
        <f>'Arbeidsark-K'!AB225*Vekting!$I$3</f>
        <v>4.9365982593907685</v>
      </c>
      <c r="K224" s="64">
        <f>'Arbeidsark-K'!AC225*Vekting!$J$3</f>
        <v>8.7270909696767749</v>
      </c>
      <c r="L224" s="63">
        <f t="shared" si="3"/>
        <v>74.439753043702908</v>
      </c>
      <c r="M224" s="65" t="s">
        <v>669</v>
      </c>
    </row>
    <row r="225" spans="1:13" x14ac:dyDescent="0.25">
      <c r="A225" s="66" t="s">
        <v>220</v>
      </c>
      <c r="B225" s="66">
        <v>224</v>
      </c>
      <c r="C225" s="64">
        <f>'Arbeidsark-K'!U226*Vekting!$B$3</f>
        <v>20</v>
      </c>
      <c r="D225" s="64">
        <f>'Arbeidsark-K'!V226*Vekting!$C$3</f>
        <v>2.7336342431310792</v>
      </c>
      <c r="E225" s="64">
        <f>'Arbeidsark-K'!W226*Vekting!$D$3</f>
        <v>3.6421235946927206</v>
      </c>
      <c r="F225" s="64">
        <f>'Arbeidsark-K'!X226*Vekting!$E$3</f>
        <v>17.142339910248172</v>
      </c>
      <c r="G225" s="64">
        <f>'Arbeidsark-K'!Y226*Vekting!$F$3</f>
        <v>2.1375966341664401</v>
      </c>
      <c r="H225" s="64">
        <f>'Arbeidsark-K'!Z226*Vekting!$G$3</f>
        <v>2.3416829335063105</v>
      </c>
      <c r="I225" s="64">
        <f>'Arbeidsark-K'!AA226*Vekting!$H$3</f>
        <v>7.1022751347471349</v>
      </c>
      <c r="J225" s="64">
        <f>'Arbeidsark-K'!AB226*Vekting!$I$3</f>
        <v>3.7862865347641499</v>
      </c>
      <c r="K225" s="64">
        <f>'Arbeidsark-K'!AC226*Vekting!$J$3</f>
        <v>10</v>
      </c>
      <c r="L225" s="63">
        <f t="shared" si="3"/>
        <v>68.885938985256018</v>
      </c>
      <c r="M225" s="65" t="s">
        <v>670</v>
      </c>
    </row>
    <row r="226" spans="1:13" x14ac:dyDescent="0.25">
      <c r="A226" s="66" t="s">
        <v>221</v>
      </c>
      <c r="B226" s="66">
        <v>225</v>
      </c>
      <c r="C226" s="64">
        <f>'Arbeidsark-K'!U227*Vekting!$B$3</f>
        <v>0</v>
      </c>
      <c r="D226" s="64">
        <f>'Arbeidsark-K'!V227*Vekting!$C$3</f>
        <v>0.9766441489200588</v>
      </c>
      <c r="E226" s="64">
        <f>'Arbeidsark-K'!W227*Vekting!$D$3</f>
        <v>4.6215572366228583</v>
      </c>
      <c r="F226" s="64">
        <f>'Arbeidsark-K'!X227*Vekting!$E$3</f>
        <v>0.11206714900511372</v>
      </c>
      <c r="G226" s="64">
        <f>'Arbeidsark-K'!Y227*Vekting!$F$3</f>
        <v>0</v>
      </c>
      <c r="H226" s="64">
        <f>'Arbeidsark-K'!Z227*Vekting!$G$3</f>
        <v>0.72762684593092897</v>
      </c>
      <c r="I226" s="64">
        <f>'Arbeidsark-K'!AA227*Vekting!$H$3</f>
        <v>0</v>
      </c>
      <c r="J226" s="64">
        <f>'Arbeidsark-K'!AB227*Vekting!$I$3</f>
        <v>3.3729993521170005</v>
      </c>
      <c r="K226" s="64">
        <f>'Arbeidsark-K'!AC227*Vekting!$J$3</f>
        <v>5.1949350216594468</v>
      </c>
      <c r="L226" s="63">
        <f t="shared" si="3"/>
        <v>15.005829754255407</v>
      </c>
      <c r="M226" s="65" t="s">
        <v>671</v>
      </c>
    </row>
    <row r="227" spans="1:13" x14ac:dyDescent="0.25">
      <c r="A227" s="66" t="s">
        <v>222</v>
      </c>
      <c r="B227" s="66">
        <v>226</v>
      </c>
      <c r="C227" s="64">
        <f>'Arbeidsark-K'!U228*Vekting!$B$3</f>
        <v>12</v>
      </c>
      <c r="D227" s="64">
        <f>'Arbeidsark-K'!V228*Vekting!$C$3</f>
        <v>2.4024315127280822</v>
      </c>
      <c r="E227" s="64">
        <f>'Arbeidsark-K'!W228*Vekting!$D$3</f>
        <v>0.13636932293167944</v>
      </c>
      <c r="F227" s="64">
        <f>'Arbeidsark-K'!X228*Vekting!$E$3</f>
        <v>8.8707828171965062</v>
      </c>
      <c r="G227" s="64">
        <f>'Arbeidsark-K'!Y228*Vekting!$F$3</f>
        <v>1.022726788402138</v>
      </c>
      <c r="H227" s="64">
        <f>'Arbeidsark-K'!Z228*Vekting!$G$3</f>
        <v>0.98981977243121944</v>
      </c>
      <c r="I227" s="64">
        <f>'Arbeidsark-K'!AA228*Vekting!$H$3</f>
        <v>6.1727378842503446</v>
      </c>
      <c r="J227" s="64">
        <f>'Arbeidsark-K'!AB228*Vekting!$I$3</f>
        <v>10</v>
      </c>
      <c r="K227" s="64">
        <f>'Arbeidsark-K'!AC228*Vekting!$J$3</f>
        <v>7.4608463845384883</v>
      </c>
      <c r="L227" s="63">
        <f t="shared" si="3"/>
        <v>49.055714482478464</v>
      </c>
      <c r="M227" s="65" t="s">
        <v>672</v>
      </c>
    </row>
    <row r="228" spans="1:13" x14ac:dyDescent="0.25">
      <c r="A228" s="66" t="s">
        <v>223</v>
      </c>
      <c r="B228" s="66">
        <v>227</v>
      </c>
      <c r="C228" s="64">
        <f>'Arbeidsark-K'!U229*Vekting!$B$3</f>
        <v>8</v>
      </c>
      <c r="D228" s="64">
        <f>'Arbeidsark-K'!V229*Vekting!$C$3</f>
        <v>5.1234100417705895</v>
      </c>
      <c r="E228" s="64">
        <f>'Arbeidsark-K'!W229*Vekting!$D$3</f>
        <v>1.197027568859113</v>
      </c>
      <c r="F228" s="64">
        <f>'Arbeidsark-K'!X229*Vekting!$E$3</f>
        <v>9.6964086513240098</v>
      </c>
      <c r="G228" s="64">
        <f>'Arbeidsark-K'!Y229*Vekting!$F$3</f>
        <v>3.7321354552700181</v>
      </c>
      <c r="H228" s="64">
        <f>'Arbeidsark-K'!Z229*Vekting!$G$3</f>
        <v>4.7110531043178643</v>
      </c>
      <c r="I228" s="64">
        <f>'Arbeidsark-K'!AA229*Vekting!$H$3</f>
        <v>5.1503640351629061</v>
      </c>
      <c r="J228" s="64">
        <f>'Arbeidsark-K'!AB229*Vekting!$I$3</f>
        <v>4.9485729217425938</v>
      </c>
      <c r="K228" s="64">
        <f>'Arbeidsark-K'!AC229*Vekting!$J$3</f>
        <v>8.9492391425080537</v>
      </c>
      <c r="L228" s="63">
        <f t="shared" si="3"/>
        <v>51.508210920955158</v>
      </c>
      <c r="M228" s="65" t="s">
        <v>673</v>
      </c>
    </row>
    <row r="229" spans="1:13" x14ac:dyDescent="0.25">
      <c r="A229" s="66" t="s">
        <v>224</v>
      </c>
      <c r="B229" s="66">
        <v>228</v>
      </c>
      <c r="C229" s="64">
        <f>'Arbeidsark-K'!U230*Vekting!$B$3</f>
        <v>0</v>
      </c>
      <c r="D229" s="64">
        <f>'Arbeidsark-K'!V230*Vekting!$C$3</f>
        <v>0.83931618753345028</v>
      </c>
      <c r="E229" s="64">
        <f>'Arbeidsark-K'!W230*Vekting!$D$3</f>
        <v>0.2030723604782807</v>
      </c>
      <c r="F229" s="64">
        <f>'Arbeidsark-K'!X230*Vekting!$E$3</f>
        <v>3.4444411475249126</v>
      </c>
      <c r="G229" s="64">
        <f>'Arbeidsark-K'!Y230*Vekting!$F$3</f>
        <v>2.60718557782072</v>
      </c>
      <c r="H229" s="64">
        <f>'Arbeidsark-K'!Z230*Vekting!$G$3</f>
        <v>1.2694218589415618</v>
      </c>
      <c r="I229" s="64">
        <f>'Arbeidsark-K'!AA230*Vekting!$H$3</f>
        <v>7.3276436998123273</v>
      </c>
      <c r="J229" s="64">
        <f>'Arbeidsark-K'!AB230*Vekting!$I$3</f>
        <v>10</v>
      </c>
      <c r="K229" s="64">
        <f>'Arbeidsark-K'!AC230*Vekting!$J$3</f>
        <v>7.4608463845384883</v>
      </c>
      <c r="L229" s="63">
        <f t="shared" si="3"/>
        <v>33.151927216649739</v>
      </c>
      <c r="M229" s="65" t="s">
        <v>674</v>
      </c>
    </row>
    <row r="230" spans="1:13" x14ac:dyDescent="0.25">
      <c r="A230" s="66" t="s">
        <v>225</v>
      </c>
      <c r="B230" s="66">
        <v>229</v>
      </c>
      <c r="C230" s="64">
        <f>'Arbeidsark-K'!U231*Vekting!$B$3</f>
        <v>0</v>
      </c>
      <c r="D230" s="64">
        <f>'Arbeidsark-K'!V231*Vekting!$C$3</f>
        <v>0</v>
      </c>
      <c r="E230" s="64">
        <f>'Arbeidsark-K'!W231*Vekting!$D$3</f>
        <v>0.16644162673705978</v>
      </c>
      <c r="F230" s="64">
        <f>'Arbeidsark-K'!X231*Vekting!$E$3</f>
        <v>0</v>
      </c>
      <c r="G230" s="64">
        <f>'Arbeidsark-K'!Y231*Vekting!$F$3</f>
        <v>0</v>
      </c>
      <c r="H230" s="64">
        <f>'Arbeidsark-K'!Z231*Vekting!$G$3</f>
        <v>0.20970189349148494</v>
      </c>
      <c r="I230" s="64">
        <f>'Arbeidsark-K'!AA231*Vekting!$H$3</f>
        <v>0</v>
      </c>
      <c r="J230" s="64">
        <f>'Arbeidsark-K'!AB231*Vekting!$I$3</f>
        <v>8.092372253371801</v>
      </c>
      <c r="K230" s="64">
        <f>'Arbeidsark-K'!AC231*Vekting!$J$3</f>
        <v>4.9616794401866047</v>
      </c>
      <c r="L230" s="63">
        <f t="shared" si="3"/>
        <v>13.430195213786952</v>
      </c>
      <c r="M230" s="65" t="s">
        <v>675</v>
      </c>
    </row>
    <row r="231" spans="1:13" x14ac:dyDescent="0.25">
      <c r="A231" s="66" t="s">
        <v>226</v>
      </c>
      <c r="B231" s="66">
        <v>230</v>
      </c>
      <c r="C231" s="64">
        <f>'Arbeidsark-K'!U232*Vekting!$B$3</f>
        <v>0</v>
      </c>
      <c r="D231" s="64">
        <f>'Arbeidsark-K'!V232*Vekting!$C$3</f>
        <v>3.1294618965395387</v>
      </c>
      <c r="E231" s="64">
        <f>'Arbeidsark-K'!W232*Vekting!$D$3</f>
        <v>0.32112327660199186</v>
      </c>
      <c r="F231" s="64">
        <f>'Arbeidsark-K'!X232*Vekting!$E$3</f>
        <v>1.5795253841834267</v>
      </c>
      <c r="G231" s="64">
        <f>'Arbeidsark-K'!Y232*Vekting!$F$3</f>
        <v>0</v>
      </c>
      <c r="H231" s="64">
        <f>'Arbeidsark-K'!Z232*Vekting!$G$3</f>
        <v>0</v>
      </c>
      <c r="I231" s="64">
        <f>'Arbeidsark-K'!AA232*Vekting!$H$3</f>
        <v>3.3410192572677975</v>
      </c>
      <c r="J231" s="64">
        <f>'Arbeidsark-K'!AB232*Vekting!$I$3</f>
        <v>10</v>
      </c>
      <c r="K231" s="64">
        <f>'Arbeidsark-K'!AC232*Vekting!$J$3</f>
        <v>3.0178829279129178</v>
      </c>
      <c r="L231" s="63">
        <f t="shared" si="3"/>
        <v>21.389012742505674</v>
      </c>
      <c r="M231" s="65" t="s">
        <v>676</v>
      </c>
    </row>
    <row r="232" spans="1:13" x14ac:dyDescent="0.25">
      <c r="A232" s="66" t="s">
        <v>227</v>
      </c>
      <c r="B232" s="66">
        <v>231</v>
      </c>
      <c r="C232" s="64">
        <f>'Arbeidsark-K'!U233*Vekting!$B$3</f>
        <v>4</v>
      </c>
      <c r="D232" s="64">
        <f>'Arbeidsark-K'!V233*Vekting!$C$3</f>
        <v>3.7245497292148415</v>
      </c>
      <c r="E232" s="64">
        <f>'Arbeidsark-K'!W233*Vekting!$D$3</f>
        <v>0.25123321296092199</v>
      </c>
      <c r="F232" s="64">
        <f>'Arbeidsark-K'!X233*Vekting!$E$3</f>
        <v>0.21455772444413698</v>
      </c>
      <c r="G232" s="64">
        <f>'Arbeidsark-K'!Y233*Vekting!$F$3</f>
        <v>1.0794980890055805</v>
      </c>
      <c r="H232" s="64">
        <f>'Arbeidsark-K'!Z233*Vekting!$G$3</f>
        <v>2.0916304331140028</v>
      </c>
      <c r="I232" s="64">
        <f>'Arbeidsark-K'!AA233*Vekting!$H$3</f>
        <v>0</v>
      </c>
      <c r="J232" s="64">
        <f>'Arbeidsark-K'!AB233*Vekting!$I$3</f>
        <v>2.692925455202047</v>
      </c>
      <c r="K232" s="64">
        <f>'Arbeidsark-K'!AC233*Vekting!$J$3</f>
        <v>3.2067088748195047</v>
      </c>
      <c r="L232" s="63">
        <f t="shared" si="3"/>
        <v>17.261103518761036</v>
      </c>
      <c r="M232" s="65" t="s">
        <v>677</v>
      </c>
    </row>
    <row r="233" spans="1:13" x14ac:dyDescent="0.25">
      <c r="A233" s="66" t="s">
        <v>228</v>
      </c>
      <c r="B233" s="66">
        <v>232</v>
      </c>
      <c r="C233" s="64">
        <f>'Arbeidsark-K'!U234*Vekting!$B$3</f>
        <v>0</v>
      </c>
      <c r="D233" s="64">
        <f>'Arbeidsark-K'!V234*Vekting!$C$3</f>
        <v>2.6461213265611816</v>
      </c>
      <c r="E233" s="64">
        <f>'Arbeidsark-K'!W234*Vekting!$D$3</f>
        <v>0.15062409178504341</v>
      </c>
      <c r="F233" s="64">
        <f>'Arbeidsark-K'!X234*Vekting!$E$3</f>
        <v>1.2636918911237331</v>
      </c>
      <c r="G233" s="64">
        <f>'Arbeidsark-K'!Y234*Vekting!$F$3</f>
        <v>1.4675006781136313</v>
      </c>
      <c r="H233" s="64">
        <f>'Arbeidsark-K'!Z234*Vekting!$G$3</f>
        <v>0</v>
      </c>
      <c r="I233" s="64">
        <f>'Arbeidsark-K'!AA234*Vekting!$H$3</f>
        <v>3.5191974473520378</v>
      </c>
      <c r="J233" s="64">
        <f>'Arbeidsark-K'!AB234*Vekting!$I$3</f>
        <v>10</v>
      </c>
      <c r="K233" s="64">
        <f>'Arbeidsark-K'!AC234*Vekting!$J$3</f>
        <v>5.2615794735088306</v>
      </c>
      <c r="L233" s="63">
        <f t="shared" si="3"/>
        <v>24.308714908444458</v>
      </c>
      <c r="M233" s="65" t="s">
        <v>678</v>
      </c>
    </row>
    <row r="234" spans="1:13" x14ac:dyDescent="0.25">
      <c r="A234" s="66" t="s">
        <v>229</v>
      </c>
      <c r="B234" s="66">
        <v>233</v>
      </c>
      <c r="C234" s="64">
        <f>'Arbeidsark-K'!U235*Vekting!$B$3</f>
        <v>4</v>
      </c>
      <c r="D234" s="64">
        <f>'Arbeidsark-K'!V235*Vekting!$C$3</f>
        <v>3.1119593132255594</v>
      </c>
      <c r="E234" s="64">
        <f>'Arbeidsark-K'!W235*Vekting!$D$3</f>
        <v>0.13059297518401822</v>
      </c>
      <c r="F234" s="64">
        <f>'Arbeidsark-K'!X235*Vekting!$E$3</f>
        <v>0</v>
      </c>
      <c r="G234" s="64">
        <f>'Arbeidsark-K'!Y235*Vekting!$F$3</f>
        <v>2.8901840782992254</v>
      </c>
      <c r="H234" s="64">
        <f>'Arbeidsark-K'!Z235*Vekting!$G$3</f>
        <v>2.1884247678706887</v>
      </c>
      <c r="I234" s="64">
        <f>'Arbeidsark-K'!AA235*Vekting!$H$3</f>
        <v>0.31897170620744791</v>
      </c>
      <c r="J234" s="64">
        <f>'Arbeidsark-K'!AB235*Vekting!$I$3</f>
        <v>9.8723335533139309</v>
      </c>
      <c r="K234" s="64">
        <f>'Arbeidsark-K'!AC235*Vekting!$J$3</f>
        <v>1.3406642230367654</v>
      </c>
      <c r="L234" s="63">
        <f t="shared" si="3"/>
        <v>23.853130617137634</v>
      </c>
      <c r="M234" s="65" t="s">
        <v>679</v>
      </c>
    </row>
    <row r="235" spans="1:13" x14ac:dyDescent="0.25">
      <c r="A235" s="66" t="s">
        <v>230</v>
      </c>
      <c r="B235" s="66">
        <v>234</v>
      </c>
      <c r="C235" s="64">
        <f>'Arbeidsark-K'!U236*Vekting!$B$3</f>
        <v>6</v>
      </c>
      <c r="D235" s="64">
        <f>'Arbeidsark-K'!V236*Vekting!$C$3</f>
        <v>4.5673664334110864</v>
      </c>
      <c r="E235" s="64">
        <f>'Arbeidsark-K'!W236*Vekting!$D$3</f>
        <v>0.87222542230148292</v>
      </c>
      <c r="F235" s="64">
        <f>'Arbeidsark-K'!X236*Vekting!$E$3</f>
        <v>9.9085619944800971</v>
      </c>
      <c r="G235" s="64">
        <f>'Arbeidsark-K'!Y236*Vekting!$F$3</f>
        <v>2.5095908127650768</v>
      </c>
      <c r="H235" s="64">
        <f>'Arbeidsark-K'!Z236*Vekting!$G$3</f>
        <v>2.731462717596596</v>
      </c>
      <c r="I235" s="64">
        <f>'Arbeidsark-K'!AA236*Vekting!$H$3</f>
        <v>10</v>
      </c>
      <c r="J235" s="64">
        <f>'Arbeidsark-K'!AB236*Vekting!$I$3</f>
        <v>10</v>
      </c>
      <c r="K235" s="64">
        <f>'Arbeidsark-K'!AC236*Vekting!$J$3</f>
        <v>8.9159169165833614</v>
      </c>
      <c r="L235" s="63">
        <f t="shared" si="3"/>
        <v>55.505124297137705</v>
      </c>
      <c r="M235" s="65" t="s">
        <v>680</v>
      </c>
    </row>
    <row r="236" spans="1:13" x14ac:dyDescent="0.25">
      <c r="A236" s="66" t="s">
        <v>231</v>
      </c>
      <c r="B236" s="66">
        <v>235</v>
      </c>
      <c r="C236" s="64">
        <f>'Arbeidsark-K'!U237*Vekting!$B$3</f>
        <v>6</v>
      </c>
      <c r="D236" s="64">
        <f>'Arbeidsark-K'!V237*Vekting!$C$3</f>
        <v>5.2930504646599292</v>
      </c>
      <c r="E236" s="64">
        <f>'Arbeidsark-K'!W237*Vekting!$D$3</f>
        <v>0.70070771100141371</v>
      </c>
      <c r="F236" s="64">
        <f>'Arbeidsark-K'!X237*Vekting!$E$3</f>
        <v>18.829572802742476</v>
      </c>
      <c r="G236" s="64">
        <f>'Arbeidsark-K'!Y237*Vekting!$F$3</f>
        <v>5</v>
      </c>
      <c r="H236" s="64">
        <f>'Arbeidsark-K'!Z237*Vekting!$G$3</f>
        <v>4.4082836444817275</v>
      </c>
      <c r="I236" s="64">
        <f>'Arbeidsark-K'!AA237*Vekting!$H$3</f>
        <v>9.6272938375023287</v>
      </c>
      <c r="J236" s="64">
        <f>'Arbeidsark-K'!AB237*Vekting!$I$3</f>
        <v>8.4349231144440662</v>
      </c>
      <c r="K236" s="64">
        <f>'Arbeidsark-K'!AC237*Vekting!$J$3</f>
        <v>4.7506386759968899</v>
      </c>
      <c r="L236" s="63">
        <f t="shared" si="3"/>
        <v>63.04447025082883</v>
      </c>
      <c r="M236" s="65" t="s">
        <v>681</v>
      </c>
    </row>
    <row r="237" spans="1:13" x14ac:dyDescent="0.25">
      <c r="A237" s="66" t="s">
        <v>232</v>
      </c>
      <c r="B237" s="66">
        <v>236</v>
      </c>
      <c r="C237" s="64">
        <f>'Arbeidsark-K'!U238*Vekting!$B$3</f>
        <v>0</v>
      </c>
      <c r="D237" s="64">
        <f>'Arbeidsark-K'!V238*Vekting!$C$3</f>
        <v>3.3017950245541066</v>
      </c>
      <c r="E237" s="64">
        <f>'Arbeidsark-K'!W238*Vekting!$D$3</f>
        <v>0</v>
      </c>
      <c r="F237" s="64">
        <f>'Arbeidsark-K'!X238*Vekting!$E$3</f>
        <v>8.3147357083066584</v>
      </c>
      <c r="G237" s="64">
        <f>'Arbeidsark-K'!Y238*Vekting!$F$3</f>
        <v>5</v>
      </c>
      <c r="H237" s="64">
        <f>'Arbeidsark-K'!Z238*Vekting!$G$3</f>
        <v>1.887966203781392</v>
      </c>
      <c r="I237" s="64">
        <f>'Arbeidsark-K'!AA238*Vekting!$H$3</f>
        <v>7.2087217378641384</v>
      </c>
      <c r="J237" s="64">
        <f>'Arbeidsark-K'!AB238*Vekting!$I$3</f>
        <v>7.4999349790345224</v>
      </c>
      <c r="K237" s="64">
        <f>'Arbeidsark-K'!AC238*Vekting!$J$3</f>
        <v>4.5951349550149949</v>
      </c>
      <c r="L237" s="63">
        <f t="shared" si="3"/>
        <v>37.808288608555813</v>
      </c>
      <c r="M237" s="65" t="s">
        <v>682</v>
      </c>
    </row>
    <row r="238" spans="1:13" x14ac:dyDescent="0.25">
      <c r="A238" s="66" t="s">
        <v>233</v>
      </c>
      <c r="B238" s="66">
        <v>237</v>
      </c>
      <c r="C238" s="64">
        <f>'Arbeidsark-K'!U239*Vekting!$B$3</f>
        <v>4</v>
      </c>
      <c r="D238" s="64">
        <f>'Arbeidsark-K'!V239*Vekting!$C$3</f>
        <v>4.4004187156469738</v>
      </c>
      <c r="E238" s="64">
        <f>'Arbeidsark-K'!W239*Vekting!$D$3</f>
        <v>2.7037813832387771E-2</v>
      </c>
      <c r="F238" s="64">
        <f>'Arbeidsark-K'!X239*Vekting!$E$3</f>
        <v>4.9378318589265922</v>
      </c>
      <c r="G238" s="64">
        <f>'Arbeidsark-K'!Y239*Vekting!$F$3</f>
        <v>0.17554575760960134</v>
      </c>
      <c r="H238" s="64">
        <f>'Arbeidsark-K'!Z239*Vekting!$G$3</f>
        <v>1.5368841419589729</v>
      </c>
      <c r="I238" s="64">
        <f>'Arbeidsark-K'!AA239*Vekting!$H$3</f>
        <v>3.2047463309875939</v>
      </c>
      <c r="J238" s="64">
        <f>'Arbeidsark-K'!AB239*Vekting!$I$3</f>
        <v>9.9198901049159449</v>
      </c>
      <c r="K238" s="64">
        <f>'Arbeidsark-K'!AC239*Vekting!$J$3</f>
        <v>4.4174164167499725</v>
      </c>
      <c r="L238" s="63">
        <f t="shared" si="3"/>
        <v>32.619771140628039</v>
      </c>
      <c r="M238" s="65" t="s">
        <v>683</v>
      </c>
    </row>
    <row r="239" spans="1:13" x14ac:dyDescent="0.25">
      <c r="A239" s="66" t="s">
        <v>234</v>
      </c>
      <c r="B239" s="66">
        <v>238</v>
      </c>
      <c r="C239" s="64">
        <f>'Arbeidsark-K'!U240*Vekting!$B$3</f>
        <v>4</v>
      </c>
      <c r="D239" s="64">
        <f>'Arbeidsark-K'!V240*Vekting!$C$3</f>
        <v>3.8537995752257674</v>
      </c>
      <c r="E239" s="64">
        <f>'Arbeidsark-K'!W240*Vekting!$D$3</f>
        <v>0.31646959113949724</v>
      </c>
      <c r="F239" s="64">
        <f>'Arbeidsark-K'!X240*Vekting!$E$3</f>
        <v>2.6893871316767477</v>
      </c>
      <c r="G239" s="64">
        <f>'Arbeidsark-K'!Y240*Vekting!$F$3</f>
        <v>1.4966402433417678</v>
      </c>
      <c r="H239" s="64">
        <f>'Arbeidsark-K'!Z240*Vekting!$G$3</f>
        <v>1.4995616989025755</v>
      </c>
      <c r="I239" s="64">
        <f>'Arbeidsark-K'!AA240*Vekting!$H$3</f>
        <v>2.3821681518434077</v>
      </c>
      <c r="J239" s="64">
        <f>'Arbeidsark-K'!AB240*Vekting!$I$3</f>
        <v>3.3947758864810496</v>
      </c>
      <c r="K239" s="64">
        <f>'Arbeidsark-K'!AC240*Vekting!$J$3</f>
        <v>6.0946351216261254</v>
      </c>
      <c r="L239" s="63">
        <f t="shared" si="3"/>
        <v>25.727437400236941</v>
      </c>
      <c r="M239" s="65" t="s">
        <v>684</v>
      </c>
    </row>
    <row r="240" spans="1:13" x14ac:dyDescent="0.25">
      <c r="A240" s="66" t="s">
        <v>235</v>
      </c>
      <c r="B240" s="66">
        <v>239</v>
      </c>
      <c r="C240" s="64">
        <f>'Arbeidsark-K'!U241*Vekting!$B$3</f>
        <v>6</v>
      </c>
      <c r="D240" s="64">
        <f>'Arbeidsark-K'!V241*Vekting!$C$3</f>
        <v>4.4138822412731118</v>
      </c>
      <c r="E240" s="64">
        <f>'Arbeidsark-K'!W241*Vekting!$D$3</f>
        <v>4.9037401756042702E-2</v>
      </c>
      <c r="F240" s="64">
        <f>'Arbeidsark-K'!X241*Vekting!$E$3</f>
        <v>9.4076800870909576</v>
      </c>
      <c r="G240" s="64">
        <f>'Arbeidsark-K'!Y241*Vekting!$F$3</f>
        <v>2.893050521495486</v>
      </c>
      <c r="H240" s="64">
        <f>'Arbeidsark-K'!Z241*Vekting!$G$3</f>
        <v>2.3330935242673863</v>
      </c>
      <c r="I240" s="64">
        <f>'Arbeidsark-K'!AA241*Vekting!$H$3</f>
        <v>4.26665808426635</v>
      </c>
      <c r="J240" s="64">
        <f>'Arbeidsark-K'!AB241*Vekting!$I$3</f>
        <v>9.5260146304838837</v>
      </c>
      <c r="K240" s="64">
        <f>'Arbeidsark-K'!AC241*Vekting!$J$3</f>
        <v>2.7179828945906923</v>
      </c>
      <c r="L240" s="63">
        <f t="shared" si="3"/>
        <v>41.607399385223907</v>
      </c>
      <c r="M240" s="65" t="s">
        <v>685</v>
      </c>
    </row>
    <row r="241" spans="1:13" x14ac:dyDescent="0.25">
      <c r="A241" s="66" t="s">
        <v>236</v>
      </c>
      <c r="B241" s="66">
        <v>240</v>
      </c>
      <c r="C241" s="64">
        <f>'Arbeidsark-K'!U242*Vekting!$B$3</f>
        <v>6</v>
      </c>
      <c r="D241" s="64">
        <f>'Arbeidsark-K'!V242*Vekting!$C$3</f>
        <v>3.8443751072874708</v>
      </c>
      <c r="E241" s="64">
        <f>'Arbeidsark-K'!W242*Vekting!$D$3</f>
        <v>0.6075358758048921</v>
      </c>
      <c r="F241" s="64">
        <f>'Arbeidsark-K'!X242*Vekting!$E$3</f>
        <v>2.5596221289608225</v>
      </c>
      <c r="G241" s="64">
        <f>'Arbeidsark-K'!Y242*Vekting!$F$3</f>
        <v>1.0084900626459494</v>
      </c>
      <c r="H241" s="64">
        <f>'Arbeidsark-K'!Z242*Vekting!$G$3</f>
        <v>1.0432463917412753E-2</v>
      </c>
      <c r="I241" s="64">
        <f>'Arbeidsark-K'!AA242*Vekting!$H$3</f>
        <v>1.227015968291832</v>
      </c>
      <c r="J241" s="64">
        <f>'Arbeidsark-K'!AB242*Vekting!$I$3</f>
        <v>8.4015927022204977</v>
      </c>
      <c r="K241" s="64">
        <f>'Arbeidsark-K'!AC242*Vekting!$J$3</f>
        <v>4.7839609019215814</v>
      </c>
      <c r="L241" s="63">
        <f t="shared" si="3"/>
        <v>28.443025211050461</v>
      </c>
      <c r="M241" s="65" t="s">
        <v>686</v>
      </c>
    </row>
    <row r="242" spans="1:13" x14ac:dyDescent="0.25">
      <c r="A242" s="66" t="s">
        <v>237</v>
      </c>
      <c r="B242" s="66">
        <v>241</v>
      </c>
      <c r="C242" s="64">
        <f>'Arbeidsark-K'!U243*Vekting!$B$3</f>
        <v>10</v>
      </c>
      <c r="D242" s="64">
        <f>'Arbeidsark-K'!V243*Vekting!$C$3</f>
        <v>4.5081269206560783</v>
      </c>
      <c r="E242" s="64">
        <f>'Arbeidsark-K'!W243*Vekting!$D$3</f>
        <v>0.41930466168599029</v>
      </c>
      <c r="F242" s="64">
        <f>'Arbeidsark-K'!X243*Vekting!$E$3</f>
        <v>4.4575812277747957</v>
      </c>
      <c r="G242" s="64">
        <f>'Arbeidsark-K'!Y243*Vekting!$F$3</f>
        <v>2.2914538360380359</v>
      </c>
      <c r="H242" s="64">
        <f>'Arbeidsark-K'!Z243*Vekting!$G$3</f>
        <v>1.83381830272542</v>
      </c>
      <c r="I242" s="64">
        <f>'Arbeidsark-K'!AA243*Vekting!$H$3</f>
        <v>8.7554365037935433</v>
      </c>
      <c r="J242" s="64">
        <f>'Arbeidsark-K'!AB243*Vekting!$I$3</f>
        <v>10</v>
      </c>
      <c r="K242" s="64">
        <f>'Arbeidsark-K'!AC243*Vekting!$J$3</f>
        <v>2.0737531933799844</v>
      </c>
      <c r="L242" s="63">
        <f t="shared" si="3"/>
        <v>44.339474646053844</v>
      </c>
      <c r="M242" s="65" t="s">
        <v>687</v>
      </c>
    </row>
    <row r="243" spans="1:13" x14ac:dyDescent="0.25">
      <c r="A243" s="66" t="s">
        <v>238</v>
      </c>
      <c r="B243" s="66">
        <v>242</v>
      </c>
      <c r="C243" s="64">
        <f>'Arbeidsark-K'!U244*Vekting!$B$3</f>
        <v>10</v>
      </c>
      <c r="D243" s="64">
        <f>'Arbeidsark-K'!V244*Vekting!$C$3</f>
        <v>4.9981992534475053</v>
      </c>
      <c r="E243" s="64">
        <f>'Arbeidsark-K'!W244*Vekting!$D$3</f>
        <v>0.2871181777445031</v>
      </c>
      <c r="F243" s="64">
        <f>'Arbeidsark-K'!X244*Vekting!$E$3</f>
        <v>12.524242473563255</v>
      </c>
      <c r="G243" s="64">
        <f>'Arbeidsark-K'!Y244*Vekting!$F$3</f>
        <v>2.9524103464378726</v>
      </c>
      <c r="H243" s="64">
        <f>'Arbeidsark-K'!Z244*Vekting!$G$3</f>
        <v>3.4458996137546549</v>
      </c>
      <c r="I243" s="64">
        <f>'Arbeidsark-K'!AA244*Vekting!$H$3</f>
        <v>3.7717685669485257</v>
      </c>
      <c r="J243" s="64">
        <f>'Arbeidsark-K'!AB244*Vekting!$I$3</f>
        <v>10</v>
      </c>
      <c r="K243" s="64">
        <f>'Arbeidsark-K'!AC244*Vekting!$J$3</f>
        <v>4.8617127624125294</v>
      </c>
      <c r="L243" s="63">
        <f t="shared" si="3"/>
        <v>52.841351194308849</v>
      </c>
      <c r="M243" s="65" t="s">
        <v>688</v>
      </c>
    </row>
    <row r="244" spans="1:13" x14ac:dyDescent="0.25">
      <c r="A244" s="66" t="s">
        <v>239</v>
      </c>
      <c r="B244" s="66">
        <v>243</v>
      </c>
      <c r="C244" s="64">
        <f>'Arbeidsark-K'!U245*Vekting!$B$3</f>
        <v>10</v>
      </c>
      <c r="D244" s="64">
        <f>'Arbeidsark-K'!V245*Vekting!$C$3</f>
        <v>4.0113228250515833</v>
      </c>
      <c r="E244" s="64">
        <f>'Arbeidsark-K'!W245*Vekting!$D$3</f>
        <v>0.24590635483006054</v>
      </c>
      <c r="F244" s="64">
        <f>'Arbeidsark-K'!X245*Vekting!$E$3</f>
        <v>8.2580999632862113</v>
      </c>
      <c r="G244" s="64">
        <f>'Arbeidsark-K'!Y245*Vekting!$F$3</f>
        <v>2.4621531609462477</v>
      </c>
      <c r="H244" s="64">
        <f>'Arbeidsark-K'!Z245*Vekting!$G$3</f>
        <v>3.3611452655324521</v>
      </c>
      <c r="I244" s="64">
        <f>'Arbeidsark-K'!AA245*Vekting!$H$3</f>
        <v>4.1565565621204925</v>
      </c>
      <c r="J244" s="64">
        <f>'Arbeidsark-K'!AB245*Vekting!$I$3</f>
        <v>10</v>
      </c>
      <c r="K244" s="64">
        <f>'Arbeidsark-K'!AC245*Vekting!$J$3</f>
        <v>4.3840941908252802</v>
      </c>
      <c r="L244" s="63">
        <f t="shared" si="3"/>
        <v>46.879278322592327</v>
      </c>
      <c r="M244" s="65" t="s">
        <v>689</v>
      </c>
    </row>
    <row r="245" spans="1:13" x14ac:dyDescent="0.25">
      <c r="A245" s="66" t="s">
        <v>240</v>
      </c>
      <c r="B245" s="66">
        <v>244</v>
      </c>
      <c r="C245" s="64">
        <f>'Arbeidsark-K'!U246*Vekting!$B$3</f>
        <v>10</v>
      </c>
      <c r="D245" s="64">
        <f>'Arbeidsark-K'!V246*Vekting!$C$3</f>
        <v>4.9053009266271523</v>
      </c>
      <c r="E245" s="64">
        <f>'Arbeidsark-K'!W246*Vekting!$D$3</f>
        <v>1.5622383672637739</v>
      </c>
      <c r="F245" s="64">
        <f>'Arbeidsark-K'!X246*Vekting!$E$3</f>
        <v>16.300286528544277</v>
      </c>
      <c r="G245" s="64">
        <f>'Arbeidsark-K'!Y246*Vekting!$F$3</f>
        <v>5</v>
      </c>
      <c r="H245" s="64">
        <f>'Arbeidsark-K'!Z246*Vekting!$G$3</f>
        <v>5</v>
      </c>
      <c r="I245" s="64">
        <f>'Arbeidsark-K'!AA246*Vekting!$H$3</f>
        <v>6.7045499960714601</v>
      </c>
      <c r="J245" s="64">
        <f>'Arbeidsark-K'!AB246*Vekting!$I$3</f>
        <v>9.4135539665794337</v>
      </c>
      <c r="K245" s="64">
        <f>'Arbeidsark-K'!AC246*Vekting!$J$3</f>
        <v>10</v>
      </c>
      <c r="L245" s="63">
        <f t="shared" si="3"/>
        <v>68.885929785086091</v>
      </c>
      <c r="M245" s="65" t="s">
        <v>690</v>
      </c>
    </row>
    <row r="246" spans="1:13" x14ac:dyDescent="0.25">
      <c r="A246" s="66" t="s">
        <v>241</v>
      </c>
      <c r="B246" s="66">
        <v>245</v>
      </c>
      <c r="C246" s="64">
        <f>'Arbeidsark-K'!U247*Vekting!$B$3</f>
        <v>10</v>
      </c>
      <c r="D246" s="64">
        <f>'Arbeidsark-K'!V247*Vekting!$C$3</f>
        <v>4.459658228401981</v>
      </c>
      <c r="E246" s="64">
        <f>'Arbeidsark-K'!W247*Vekting!$D$3</f>
        <v>0.48165233583046363</v>
      </c>
      <c r="F246" s="64">
        <f>'Arbeidsark-K'!X247*Vekting!$E$3</f>
        <v>10.856290709991386</v>
      </c>
      <c r="G246" s="64">
        <f>'Arbeidsark-K'!Y247*Vekting!$F$3</f>
        <v>2.500205219530252</v>
      </c>
      <c r="H246" s="64">
        <f>'Arbeidsark-K'!Z247*Vekting!$G$3</f>
        <v>3.0335017488371481</v>
      </c>
      <c r="I246" s="64">
        <f>'Arbeidsark-K'!AA247*Vekting!$H$3</f>
        <v>3.0824090928509733</v>
      </c>
      <c r="J246" s="64">
        <f>'Arbeidsark-K'!AB247*Vekting!$I$3</f>
        <v>10</v>
      </c>
      <c r="K246" s="64">
        <f>'Arbeidsark-K'!AC247*Vekting!$J$3</f>
        <v>6.2834610685327119</v>
      </c>
      <c r="L246" s="63">
        <f t="shared" si="3"/>
        <v>50.69717840397491</v>
      </c>
      <c r="M246" s="65" t="s">
        <v>691</v>
      </c>
    </row>
    <row r="247" spans="1:13" x14ac:dyDescent="0.25">
      <c r="A247" s="66" t="s">
        <v>242</v>
      </c>
      <c r="B247" s="66">
        <v>246</v>
      </c>
      <c r="C247" s="64">
        <f>'Arbeidsark-K'!U248*Vekting!$B$3</f>
        <v>0</v>
      </c>
      <c r="D247" s="64">
        <f>'Arbeidsark-K'!V248*Vekting!$C$3</f>
        <v>3.1186910760386284</v>
      </c>
      <c r="E247" s="64">
        <f>'Arbeidsark-K'!W248*Vekting!$D$3</f>
        <v>0.25143908161658857</v>
      </c>
      <c r="F247" s="64">
        <f>'Arbeidsark-K'!X248*Vekting!$E$3</f>
        <v>2.8781767282484907</v>
      </c>
      <c r="G247" s="64">
        <f>'Arbeidsark-K'!Y248*Vekting!$F$3</f>
        <v>0.51804461816701353</v>
      </c>
      <c r="H247" s="64">
        <f>'Arbeidsark-K'!Z248*Vekting!$G$3</f>
        <v>0.18229975929646125</v>
      </c>
      <c r="I247" s="64">
        <f>'Arbeidsark-K'!AA248*Vekting!$H$3</f>
        <v>3.7584794224777927</v>
      </c>
      <c r="J247" s="64">
        <f>'Arbeidsark-K'!AB248*Vekting!$I$3</f>
        <v>6.1532804116176081</v>
      </c>
      <c r="K247" s="64">
        <f>'Arbeidsark-K'!AC248*Vekting!$J$3</f>
        <v>2.7401977118738206</v>
      </c>
      <c r="L247" s="63">
        <f t="shared" si="3"/>
        <v>19.6006088093364</v>
      </c>
      <c r="M247" s="65" t="s">
        <v>692</v>
      </c>
    </row>
    <row r="248" spans="1:13" x14ac:dyDescent="0.25">
      <c r="A248" s="66" t="s">
        <v>243</v>
      </c>
      <c r="B248" s="66">
        <v>247</v>
      </c>
      <c r="C248" s="64">
        <f>'Arbeidsark-K'!U249*Vekting!$B$3</f>
        <v>4</v>
      </c>
      <c r="D248" s="64">
        <f>'Arbeidsark-K'!V249*Vekting!$C$3</f>
        <v>2.6905509611274372</v>
      </c>
      <c r="E248" s="64">
        <f>'Arbeidsark-K'!W249*Vekting!$D$3</f>
        <v>2.4511458774294641</v>
      </c>
      <c r="F248" s="64">
        <f>'Arbeidsark-K'!X249*Vekting!$E$3</f>
        <v>4.2288832231393316</v>
      </c>
      <c r="G248" s="64">
        <f>'Arbeidsark-K'!Y249*Vekting!$F$3</f>
        <v>1.3294613662679269</v>
      </c>
      <c r="H248" s="64">
        <f>'Arbeidsark-K'!Z249*Vekting!$G$3</f>
        <v>2.486885714385537</v>
      </c>
      <c r="I248" s="64">
        <f>'Arbeidsark-K'!AA249*Vekting!$H$3</f>
        <v>5.6590754439482946</v>
      </c>
      <c r="J248" s="64">
        <f>'Arbeidsark-K'!AB249*Vekting!$I$3</f>
        <v>7.3882651604033587</v>
      </c>
      <c r="K248" s="64">
        <f>'Arbeidsark-K'!AC249*Vekting!$J$3</f>
        <v>6.2390314339664563</v>
      </c>
      <c r="L248" s="63">
        <f t="shared" si="3"/>
        <v>36.473299180667809</v>
      </c>
      <c r="M248" s="65" t="s">
        <v>693</v>
      </c>
    </row>
    <row r="249" spans="1:13" x14ac:dyDescent="0.25">
      <c r="A249" s="66" t="s">
        <v>244</v>
      </c>
      <c r="B249" s="66">
        <v>248</v>
      </c>
      <c r="C249" s="64">
        <f>'Arbeidsark-K'!U250*Vekting!$B$3</f>
        <v>4</v>
      </c>
      <c r="D249" s="64">
        <f>'Arbeidsark-K'!V250*Vekting!$C$3</f>
        <v>2.4253195062925172</v>
      </c>
      <c r="E249" s="64">
        <f>'Arbeidsark-K'!W250*Vekting!$D$3</f>
        <v>0.82710771291829277</v>
      </c>
      <c r="F249" s="64">
        <f>'Arbeidsark-K'!X250*Vekting!$E$3</f>
        <v>1.1461729992443679</v>
      </c>
      <c r="G249" s="64">
        <f>'Arbeidsark-K'!Y250*Vekting!$F$3</f>
        <v>1.6108286525489157</v>
      </c>
      <c r="H249" s="64">
        <f>'Arbeidsark-K'!Z250*Vekting!$G$3</f>
        <v>1.4392217764737796</v>
      </c>
      <c r="I249" s="64">
        <f>'Arbeidsark-K'!AA250*Vekting!$H$3</f>
        <v>3.2711050997864932</v>
      </c>
      <c r="J249" s="64">
        <f>'Arbeidsark-K'!AB250*Vekting!$I$3</f>
        <v>7.1294020377920324</v>
      </c>
      <c r="K249" s="64">
        <f>'Arbeidsark-K'!AC250*Vekting!$J$3</f>
        <v>4.683994224147507</v>
      </c>
      <c r="L249" s="63">
        <f t="shared" si="3"/>
        <v>26.533152009203906</v>
      </c>
      <c r="M249" s="65" t="s">
        <v>694</v>
      </c>
    </row>
    <row r="250" spans="1:13" x14ac:dyDescent="0.25">
      <c r="A250" s="66" t="s">
        <v>245</v>
      </c>
      <c r="B250" s="66">
        <v>249</v>
      </c>
      <c r="C250" s="64">
        <f>'Arbeidsark-K'!U251*Vekting!$B$3</f>
        <v>6</v>
      </c>
      <c r="D250" s="64">
        <f>'Arbeidsark-K'!V251*Vekting!$C$3</f>
        <v>4.6198741833530246</v>
      </c>
      <c r="E250" s="64">
        <f>'Arbeidsark-K'!W251*Vekting!$D$3</f>
        <v>0.87037805308981009</v>
      </c>
      <c r="F250" s="64">
        <f>'Arbeidsark-K'!X251*Vekting!$E$3</f>
        <v>7.879928612001911</v>
      </c>
      <c r="G250" s="64">
        <f>'Arbeidsark-K'!Y251*Vekting!$F$3</f>
        <v>2.6296530372831604</v>
      </c>
      <c r="H250" s="64">
        <f>'Arbeidsark-K'!Z251*Vekting!$G$3</f>
        <v>3.3481243077861738</v>
      </c>
      <c r="I250" s="64">
        <f>'Arbeidsark-K'!AA251*Vekting!$H$3</f>
        <v>4.0665958018100348</v>
      </c>
      <c r="J250" s="64">
        <f>'Arbeidsark-K'!AB251*Vekting!$I$3</f>
        <v>9.5563805909427355</v>
      </c>
      <c r="K250" s="64">
        <f>'Arbeidsark-K'!AC251*Vekting!$J$3</f>
        <v>4.1064089747861825</v>
      </c>
      <c r="L250" s="63">
        <f t="shared" si="3"/>
        <v>43.077343561053034</v>
      </c>
      <c r="M250" s="65" t="s">
        <v>695</v>
      </c>
    </row>
    <row r="251" spans="1:13" x14ac:dyDescent="0.25">
      <c r="A251" s="66" t="s">
        <v>246</v>
      </c>
      <c r="B251" s="66">
        <v>250</v>
      </c>
      <c r="C251" s="64">
        <f>'Arbeidsark-K'!U252*Vekting!$B$3</f>
        <v>6</v>
      </c>
      <c r="D251" s="64">
        <f>'Arbeidsark-K'!V252*Vekting!$C$3</f>
        <v>4.0086301199263552</v>
      </c>
      <c r="E251" s="64">
        <f>'Arbeidsark-K'!W252*Vekting!$D$3</f>
        <v>0.37318707003405938</v>
      </c>
      <c r="F251" s="64">
        <f>'Arbeidsark-K'!X252*Vekting!$E$3</f>
        <v>4.4825263667270576</v>
      </c>
      <c r="G251" s="64">
        <f>'Arbeidsark-K'!Y252*Vekting!$F$3</f>
        <v>2.3458410121412272</v>
      </c>
      <c r="H251" s="64">
        <f>'Arbeidsark-K'!Z252*Vekting!$G$3</f>
        <v>2.21449839839351</v>
      </c>
      <c r="I251" s="64">
        <f>'Arbeidsark-K'!AA252*Vekting!$H$3</f>
        <v>0</v>
      </c>
      <c r="J251" s="64">
        <f>'Arbeidsark-K'!AB252*Vekting!$I$3</f>
        <v>10</v>
      </c>
      <c r="K251" s="64">
        <f>'Arbeidsark-K'!AC252*Vekting!$J$3</f>
        <v>0.56314561812729103</v>
      </c>
      <c r="L251" s="63">
        <f t="shared" si="3"/>
        <v>29.987828585349501</v>
      </c>
      <c r="M251" s="65" t="s">
        <v>696</v>
      </c>
    </row>
    <row r="252" spans="1:13" x14ac:dyDescent="0.25">
      <c r="A252" s="66" t="s">
        <v>247</v>
      </c>
      <c r="B252" s="66">
        <v>251</v>
      </c>
      <c r="C252" s="64">
        <f>'Arbeidsark-K'!U253*Vekting!$B$3</f>
        <v>4</v>
      </c>
      <c r="D252" s="64">
        <f>'Arbeidsark-K'!V253*Vekting!$C$3</f>
        <v>5.204191195527418</v>
      </c>
      <c r="E252" s="64">
        <f>'Arbeidsark-K'!W253*Vekting!$D$3</f>
        <v>0.32542599621475149</v>
      </c>
      <c r="F252" s="64">
        <f>'Arbeidsark-K'!X253*Vekting!$E$3</f>
        <v>5.6009840642730673</v>
      </c>
      <c r="G252" s="64">
        <f>'Arbeidsark-K'!Y253*Vekting!$F$3</f>
        <v>2.1697613509268181</v>
      </c>
      <c r="H252" s="64">
        <f>'Arbeidsark-K'!Z253*Vekting!$G$3</f>
        <v>1.9005222596329092</v>
      </c>
      <c r="I252" s="64">
        <f>'Arbeidsark-K'!AA253*Vekting!$H$3</f>
        <v>4.5047821901392266</v>
      </c>
      <c r="J252" s="64">
        <f>'Arbeidsark-K'!AB253*Vekting!$I$3</f>
        <v>10</v>
      </c>
      <c r="K252" s="64">
        <f>'Arbeidsark-K'!AC253*Vekting!$J$3</f>
        <v>4.6284571809396864</v>
      </c>
      <c r="L252" s="63">
        <f t="shared" si="3"/>
        <v>38.334124237653874</v>
      </c>
      <c r="M252" s="65" t="s">
        <v>697</v>
      </c>
    </row>
    <row r="253" spans="1:13" x14ac:dyDescent="0.25">
      <c r="A253" s="66" t="s">
        <v>248</v>
      </c>
      <c r="B253" s="66">
        <v>252</v>
      </c>
      <c r="C253" s="64">
        <f>'Arbeidsark-K'!U254*Vekting!$B$3</f>
        <v>6</v>
      </c>
      <c r="D253" s="64">
        <f>'Arbeidsark-K'!V254*Vekting!$C$3</f>
        <v>3.3960397039370727</v>
      </c>
      <c r="E253" s="64">
        <f>'Arbeidsark-K'!W254*Vekting!$D$3</f>
        <v>0.29779350738690485</v>
      </c>
      <c r="F253" s="64">
        <f>'Arbeidsark-K'!X254*Vekting!$E$3</f>
        <v>11.275625876216173</v>
      </c>
      <c r="G253" s="64">
        <f>'Arbeidsark-K'!Y254*Vekting!$F$3</f>
        <v>2.0305828505861752</v>
      </c>
      <c r="H253" s="64">
        <f>'Arbeidsark-K'!Z254*Vekting!$G$3</f>
        <v>3.2191342630841833</v>
      </c>
      <c r="I253" s="64">
        <f>'Arbeidsark-K'!AA254*Vekting!$H$3</f>
        <v>3.9626986492010761</v>
      </c>
      <c r="J253" s="64">
        <f>'Arbeidsark-K'!AB254*Vekting!$I$3</f>
        <v>10</v>
      </c>
      <c r="K253" s="64">
        <f>'Arbeidsark-K'!AC254*Vekting!$J$3</f>
        <v>6.527824058647119</v>
      </c>
      <c r="L253" s="63">
        <f t="shared" si="3"/>
        <v>46.709698909058709</v>
      </c>
      <c r="M253" s="65" t="s">
        <v>698</v>
      </c>
    </row>
    <row r="254" spans="1:13" x14ac:dyDescent="0.25">
      <c r="A254" s="66" t="s">
        <v>249</v>
      </c>
      <c r="B254" s="66">
        <v>253</v>
      </c>
      <c r="C254" s="64">
        <f>'Arbeidsark-K'!U255*Vekting!$B$3</f>
        <v>14</v>
      </c>
      <c r="D254" s="64">
        <f>'Arbeidsark-K'!V255*Vekting!$C$3</f>
        <v>5.6161750796872436</v>
      </c>
      <c r="E254" s="64">
        <f>'Arbeidsark-K'!W255*Vekting!$D$3</f>
        <v>5.4189340588782482</v>
      </c>
      <c r="F254" s="64">
        <f>'Arbeidsark-K'!X255*Vekting!$E$3</f>
        <v>13.819773676596043</v>
      </c>
      <c r="G254" s="64">
        <f>'Arbeidsark-K'!Y255*Vekting!$F$3</f>
        <v>4.7674526594791784</v>
      </c>
      <c r="H254" s="64">
        <f>'Arbeidsark-K'!Z255*Vekting!$G$3</f>
        <v>3.3963754608186321</v>
      </c>
      <c r="I254" s="64">
        <f>'Arbeidsark-K'!AA255*Vekting!$H$3</f>
        <v>6.7204830981981791</v>
      </c>
      <c r="J254" s="64">
        <f>'Arbeidsark-K'!AB255*Vekting!$I$3</f>
        <v>5.1319185520818813</v>
      </c>
      <c r="K254" s="64">
        <f>'Arbeidsark-K'!AC255*Vekting!$J$3</f>
        <v>9.0936354548483838</v>
      </c>
      <c r="L254" s="63">
        <f t="shared" si="3"/>
        <v>67.964748040587793</v>
      </c>
      <c r="M254" s="65" t="s">
        <v>699</v>
      </c>
    </row>
    <row r="255" spans="1:13" x14ac:dyDescent="0.25">
      <c r="A255" s="66" t="s">
        <v>250</v>
      </c>
      <c r="B255" s="66">
        <v>254</v>
      </c>
      <c r="C255" s="64">
        <f>'Arbeidsark-K'!U256*Vekting!$B$3</f>
        <v>14</v>
      </c>
      <c r="D255" s="64">
        <f>'Arbeidsark-K'!V256*Vekting!$C$3</f>
        <v>5.0695559392660368</v>
      </c>
      <c r="E255" s="64">
        <f>'Arbeidsark-K'!W256*Vekting!$D$3</f>
        <v>10</v>
      </c>
      <c r="F255" s="64">
        <f>'Arbeidsark-K'!X256*Vekting!$E$3</f>
        <v>16.801272991134791</v>
      </c>
      <c r="G255" s="64">
        <f>'Arbeidsark-K'!Y256*Vekting!$F$3</f>
        <v>5</v>
      </c>
      <c r="H255" s="64">
        <f>'Arbeidsark-K'!Z256*Vekting!$G$3</f>
        <v>4.5395051638631534</v>
      </c>
      <c r="I255" s="64">
        <f>'Arbeidsark-K'!AA256*Vekting!$H$3</f>
        <v>9.1184304108917402</v>
      </c>
      <c r="J255" s="64">
        <f>'Arbeidsark-K'!AB256*Vekting!$I$3</f>
        <v>4.1921453332580318</v>
      </c>
      <c r="K255" s="64">
        <f>'Arbeidsark-K'!AC256*Vekting!$J$3</f>
        <v>9.2713539931134061</v>
      </c>
      <c r="L255" s="63">
        <f t="shared" si="3"/>
        <v>77.992263831527154</v>
      </c>
      <c r="M255" s="65" t="s">
        <v>700</v>
      </c>
    </row>
    <row r="256" spans="1:13" x14ac:dyDescent="0.25">
      <c r="A256" s="66" t="s">
        <v>251</v>
      </c>
      <c r="B256" s="66">
        <v>255</v>
      </c>
      <c r="C256" s="64">
        <f>'Arbeidsark-K'!U257*Vekting!$B$3</f>
        <v>12</v>
      </c>
      <c r="D256" s="64">
        <f>'Arbeidsark-K'!V257*Vekting!$C$3</f>
        <v>5.3092066954112944</v>
      </c>
      <c r="E256" s="64">
        <f>'Arbeidsark-K'!W257*Vekting!$D$3</f>
        <v>10</v>
      </c>
      <c r="F256" s="64">
        <f>'Arbeidsark-K'!X257*Vekting!$E$3</f>
        <v>12.042442943708364</v>
      </c>
      <c r="G256" s="64">
        <f>'Arbeidsark-K'!Y257*Vekting!$F$3</f>
        <v>3.702577905903889</v>
      </c>
      <c r="H256" s="64">
        <f>'Arbeidsark-K'!Z257*Vekting!$G$3</f>
        <v>3.3612234220053523</v>
      </c>
      <c r="I256" s="64">
        <f>'Arbeidsark-K'!AA257*Vekting!$H$3</f>
        <v>4.6704909283477072</v>
      </c>
      <c r="J256" s="64">
        <f>'Arbeidsark-K'!AB257*Vekting!$I$3</f>
        <v>0</v>
      </c>
      <c r="K256" s="64">
        <f>'Arbeidsark-K'!AC257*Vekting!$J$3</f>
        <v>7.0054426302343673</v>
      </c>
      <c r="L256" s="63">
        <f t="shared" si="3"/>
        <v>58.091384525610977</v>
      </c>
      <c r="M256" s="65" t="s">
        <v>701</v>
      </c>
    </row>
    <row r="257" spans="1:13" x14ac:dyDescent="0.25">
      <c r="A257" s="66" t="s">
        <v>252</v>
      </c>
      <c r="B257" s="66">
        <v>256</v>
      </c>
      <c r="C257" s="64">
        <f>'Arbeidsark-K'!U258*Vekting!$B$3</f>
        <v>0</v>
      </c>
      <c r="D257" s="64">
        <f>'Arbeidsark-K'!V258*Vekting!$C$3</f>
        <v>2.5707255830548084</v>
      </c>
      <c r="E257" s="64">
        <f>'Arbeidsark-K'!W258*Vekting!$D$3</f>
        <v>0.52689414301252813</v>
      </c>
      <c r="F257" s="64">
        <f>'Arbeidsark-K'!X258*Vekting!$E$3</f>
        <v>0</v>
      </c>
      <c r="G257" s="64">
        <f>'Arbeidsark-K'!Y258*Vekting!$F$3</f>
        <v>0</v>
      </c>
      <c r="H257" s="64">
        <f>'Arbeidsark-K'!Z258*Vekting!$G$3</f>
        <v>0</v>
      </c>
      <c r="I257" s="64">
        <f>'Arbeidsark-K'!AA258*Vekting!$H$3</f>
        <v>0.20424314658190071</v>
      </c>
      <c r="J257" s="64">
        <f>'Arbeidsark-K'!AB258*Vekting!$I$3</f>
        <v>9.3555044833289696</v>
      </c>
      <c r="K257" s="64">
        <f>'Arbeidsark-K'!AC258*Vekting!$J$3</f>
        <v>3.7287570809730095</v>
      </c>
      <c r="L257" s="63">
        <f t="shared" si="3"/>
        <v>16.386124436951214</v>
      </c>
      <c r="M257" s="65" t="s">
        <v>702</v>
      </c>
    </row>
    <row r="258" spans="1:13" x14ac:dyDescent="0.25">
      <c r="A258" s="66" t="s">
        <v>253</v>
      </c>
      <c r="B258" s="66">
        <v>257</v>
      </c>
      <c r="C258" s="64">
        <f>'Arbeidsark-K'!U259*Vekting!$B$3</f>
        <v>10</v>
      </c>
      <c r="D258" s="64">
        <f>'Arbeidsark-K'!V259*Vekting!$C$3</f>
        <v>3.9116927354181614</v>
      </c>
      <c r="E258" s="64">
        <f>'Arbeidsark-K'!W259*Vekting!$D$3</f>
        <v>1.9381568724293488</v>
      </c>
      <c r="F258" s="64">
        <f>'Arbeidsark-K'!X259*Vekting!$E$3</f>
        <v>5.1752361926173966</v>
      </c>
      <c r="G258" s="64">
        <f>'Arbeidsark-K'!Y259*Vekting!$F$3</f>
        <v>0.91569787972793015</v>
      </c>
      <c r="H258" s="64">
        <f>'Arbeidsark-K'!Z259*Vekting!$G$3</f>
        <v>1.518149561079952</v>
      </c>
      <c r="I258" s="64">
        <f>'Arbeidsark-K'!AA259*Vekting!$H$3</f>
        <v>4.889322252784865</v>
      </c>
      <c r="J258" s="64">
        <f>'Arbeidsark-K'!AB259*Vekting!$I$3</f>
        <v>5.6510642557531163</v>
      </c>
      <c r="K258" s="64">
        <f>'Arbeidsark-K'!AC259*Vekting!$J$3</f>
        <v>5.7058758191713874</v>
      </c>
      <c r="L258" s="63">
        <f t="shared" ref="L258:L321" si="4">SUM(C258:K258)</f>
        <v>39.705195568982155</v>
      </c>
      <c r="M258" s="65" t="s">
        <v>703</v>
      </c>
    </row>
    <row r="259" spans="1:13" x14ac:dyDescent="0.25">
      <c r="A259" s="66" t="s">
        <v>254</v>
      </c>
      <c r="B259" s="66">
        <v>258</v>
      </c>
      <c r="C259" s="64">
        <f>'Arbeidsark-K'!U260*Vekting!$B$3</f>
        <v>10</v>
      </c>
      <c r="D259" s="64">
        <f>'Arbeidsark-K'!V260*Vekting!$C$3</f>
        <v>3.8497605175379266</v>
      </c>
      <c r="E259" s="64">
        <f>'Arbeidsark-K'!W260*Vekting!$D$3</f>
        <v>5.4921380106747257</v>
      </c>
      <c r="F259" s="64">
        <f>'Arbeidsark-K'!X260*Vekting!$E$3</f>
        <v>11.282826991454703</v>
      </c>
      <c r="G259" s="64">
        <f>'Arbeidsark-K'!Y260*Vekting!$F$3</f>
        <v>2.7515322228877972</v>
      </c>
      <c r="H259" s="64">
        <f>'Arbeidsark-K'!Z260*Vekting!$G$3</f>
        <v>3.2495473610818557</v>
      </c>
      <c r="I259" s="64">
        <f>'Arbeidsark-K'!AA260*Vekting!$H$3</f>
        <v>6.6357949399324445</v>
      </c>
      <c r="J259" s="64">
        <f>'Arbeidsark-K'!AB260*Vekting!$I$3</f>
        <v>4.0061619950074938</v>
      </c>
      <c r="K259" s="64">
        <f>'Arbeidsark-K'!AC260*Vekting!$J$3</f>
        <v>10</v>
      </c>
      <c r="L259" s="63">
        <f t="shared" si="4"/>
        <v>57.267762038576947</v>
      </c>
      <c r="M259" s="65" t="s">
        <v>704</v>
      </c>
    </row>
    <row r="260" spans="1:13" x14ac:dyDescent="0.25">
      <c r="A260" s="66" t="s">
        <v>255</v>
      </c>
      <c r="B260" s="66">
        <v>259</v>
      </c>
      <c r="C260" s="64">
        <f>'Arbeidsark-K'!U261*Vekting!$B$3</f>
        <v>12</v>
      </c>
      <c r="D260" s="64">
        <f>'Arbeidsark-K'!V261*Vekting!$C$3</f>
        <v>4.4192676515235672</v>
      </c>
      <c r="E260" s="64">
        <f>'Arbeidsark-K'!W261*Vekting!$D$3</f>
        <v>6.3924646807239123</v>
      </c>
      <c r="F260" s="64">
        <f>'Arbeidsark-K'!X261*Vekting!$E$3</f>
        <v>20</v>
      </c>
      <c r="G260" s="64">
        <f>'Arbeidsark-K'!Y261*Vekting!$F$3</f>
        <v>3.1009526150029298</v>
      </c>
      <c r="H260" s="64">
        <f>'Arbeidsark-K'!Z261*Vekting!$G$3</f>
        <v>5</v>
      </c>
      <c r="I260" s="64">
        <f>'Arbeidsark-K'!AA261*Vekting!$H$3</f>
        <v>9.0161796512593675</v>
      </c>
      <c r="J260" s="64">
        <f>'Arbeidsark-K'!AB261*Vekting!$I$3</f>
        <v>4.5941530475229015</v>
      </c>
      <c r="K260" s="64">
        <f>'Arbeidsark-K'!AC261*Vekting!$J$3</f>
        <v>10</v>
      </c>
      <c r="L260" s="63">
        <f t="shared" si="4"/>
        <v>74.523017646032685</v>
      </c>
      <c r="M260" s="65" t="s">
        <v>705</v>
      </c>
    </row>
    <row r="261" spans="1:13" x14ac:dyDescent="0.25">
      <c r="A261" s="66" t="s">
        <v>256</v>
      </c>
      <c r="B261" s="66">
        <v>260</v>
      </c>
      <c r="C261" s="64">
        <f>'Arbeidsark-K'!U262*Vekting!$B$3</f>
        <v>12</v>
      </c>
      <c r="D261" s="64">
        <f>'Arbeidsark-K'!V262*Vekting!$C$3</f>
        <v>4.0786404531822731</v>
      </c>
      <c r="E261" s="64">
        <f>'Arbeidsark-K'!W262*Vekting!$D$3</f>
        <v>4.6049771539471918</v>
      </c>
      <c r="F261" s="64">
        <f>'Arbeidsark-K'!X262*Vekting!$E$3</f>
        <v>14.096457449859367</v>
      </c>
      <c r="G261" s="64">
        <f>'Arbeidsark-K'!Y262*Vekting!$F$3</f>
        <v>4.6300963020805908</v>
      </c>
      <c r="H261" s="64">
        <f>'Arbeidsark-K'!Z262*Vekting!$G$3</f>
        <v>3.7904392347115308</v>
      </c>
      <c r="I261" s="64">
        <f>'Arbeidsark-K'!AA262*Vekting!$H$3</f>
        <v>2.6452253178371752</v>
      </c>
      <c r="J261" s="64">
        <f>'Arbeidsark-K'!AB262*Vekting!$I$3</f>
        <v>2.5875702752417555</v>
      </c>
      <c r="K261" s="64">
        <f>'Arbeidsark-K'!AC262*Vekting!$J$3</f>
        <v>5.8724869487948466</v>
      </c>
      <c r="L261" s="63">
        <f t="shared" si="4"/>
        <v>54.305893135654721</v>
      </c>
      <c r="M261" s="65" t="s">
        <v>564</v>
      </c>
    </row>
    <row r="262" spans="1:13" x14ac:dyDescent="0.25">
      <c r="A262" s="66" t="s">
        <v>257</v>
      </c>
      <c r="B262" s="66">
        <v>261</v>
      </c>
      <c r="C262" s="64">
        <f>'Arbeidsark-K'!U263*Vekting!$B$3</f>
        <v>10</v>
      </c>
      <c r="D262" s="64">
        <f>'Arbeidsark-K'!V263*Vekting!$C$3</f>
        <v>5.1772641442751421</v>
      </c>
      <c r="E262" s="64">
        <f>'Arbeidsark-K'!W263*Vekting!$D$3</f>
        <v>1.1468105663910422</v>
      </c>
      <c r="F262" s="64">
        <f>'Arbeidsark-K'!X263*Vekting!$E$3</f>
        <v>12.829469959182308</v>
      </c>
      <c r="G262" s="64">
        <f>'Arbeidsark-K'!Y263*Vekting!$F$3</f>
        <v>5</v>
      </c>
      <c r="H262" s="64">
        <f>'Arbeidsark-K'!Z263*Vekting!$G$3</f>
        <v>3.2531188498012913</v>
      </c>
      <c r="I262" s="64">
        <f>'Arbeidsark-K'!AA263*Vekting!$H$3</f>
        <v>7.4753152526452427</v>
      </c>
      <c r="J262" s="64">
        <f>'Arbeidsark-K'!AB263*Vekting!$I$3</f>
        <v>3.1160053430439092</v>
      </c>
      <c r="K262" s="64">
        <f>'Arbeidsark-K'!AC263*Vekting!$J$3</f>
        <v>2.5291569476841049</v>
      </c>
      <c r="L262" s="63">
        <f t="shared" si="4"/>
        <v>50.527141063023045</v>
      </c>
      <c r="M262" s="65" t="s">
        <v>706</v>
      </c>
    </row>
    <row r="263" spans="1:13" x14ac:dyDescent="0.25">
      <c r="A263" s="66" t="s">
        <v>258</v>
      </c>
      <c r="B263" s="66">
        <v>262</v>
      </c>
      <c r="C263" s="64">
        <f>'Arbeidsark-K'!U264*Vekting!$B$3</f>
        <v>10</v>
      </c>
      <c r="D263" s="64">
        <f>'Arbeidsark-K'!V264*Vekting!$C$3</f>
        <v>5.2809332915964049</v>
      </c>
      <c r="E263" s="64">
        <f>'Arbeidsark-K'!W264*Vekting!$D$3</f>
        <v>0.902609969841214</v>
      </c>
      <c r="F263" s="64">
        <f>'Arbeidsark-K'!X264*Vekting!$E$3</f>
        <v>9.6320177706059695</v>
      </c>
      <c r="G263" s="64">
        <f>'Arbeidsark-K'!Y264*Vekting!$F$3</f>
        <v>3.3303290012081619</v>
      </c>
      <c r="H263" s="64">
        <f>'Arbeidsark-K'!Z264*Vekting!$G$3</f>
        <v>2.9829250196802173</v>
      </c>
      <c r="I263" s="64">
        <f>'Arbeidsark-K'!AA264*Vekting!$H$3</f>
        <v>3.9544403955215439</v>
      </c>
      <c r="J263" s="64">
        <f>'Arbeidsark-K'!AB264*Vekting!$I$3</f>
        <v>6.4858395810531988</v>
      </c>
      <c r="K263" s="64">
        <f>'Arbeidsark-K'!AC264*Vekting!$J$3</f>
        <v>5.4059757858491615</v>
      </c>
      <c r="L263" s="63">
        <f t="shared" si="4"/>
        <v>47.975070815355878</v>
      </c>
      <c r="M263" s="65" t="s">
        <v>707</v>
      </c>
    </row>
    <row r="264" spans="1:13" x14ac:dyDescent="0.25">
      <c r="A264" s="66" t="s">
        <v>259</v>
      </c>
      <c r="B264" s="66">
        <v>263</v>
      </c>
      <c r="C264" s="64">
        <f>'Arbeidsark-K'!U265*Vekting!$B$3</f>
        <v>14</v>
      </c>
      <c r="D264" s="64">
        <f>'Arbeidsark-K'!V265*Vekting!$C$3</f>
        <v>3.7824428894072355</v>
      </c>
      <c r="E264" s="64">
        <f>'Arbeidsark-K'!W265*Vekting!$D$3</f>
        <v>1.2000309426758833</v>
      </c>
      <c r="F264" s="64">
        <f>'Arbeidsark-K'!X265*Vekting!$E$3</f>
        <v>13.28022096786354</v>
      </c>
      <c r="G264" s="64">
        <f>'Arbeidsark-K'!Y265*Vekting!$F$3</f>
        <v>2.5625720514672583</v>
      </c>
      <c r="H264" s="64">
        <f>'Arbeidsark-K'!Z265*Vekting!$G$3</f>
        <v>2.9380284321253516</v>
      </c>
      <c r="I264" s="64">
        <f>'Arbeidsark-K'!AA265*Vekting!$H$3</f>
        <v>5.9643809916053732</v>
      </c>
      <c r="J264" s="64">
        <f>'Arbeidsark-K'!AB265*Vekting!$I$3</f>
        <v>8.7460674293518608</v>
      </c>
      <c r="K264" s="64">
        <f>'Arbeidsark-K'!AC265*Vekting!$J$3</f>
        <v>4.4840608685993564</v>
      </c>
      <c r="L264" s="63">
        <f t="shared" si="4"/>
        <v>56.957804573095856</v>
      </c>
      <c r="M264" s="65" t="s">
        <v>708</v>
      </c>
    </row>
    <row r="265" spans="1:13" x14ac:dyDescent="0.25">
      <c r="A265" s="66" t="s">
        <v>260</v>
      </c>
      <c r="B265" s="66">
        <v>264</v>
      </c>
      <c r="C265" s="64">
        <f>'Arbeidsark-K'!U266*Vekting!$B$3</f>
        <v>4</v>
      </c>
      <c r="D265" s="64">
        <f>'Arbeidsark-K'!V266*Vekting!$C$3</f>
        <v>2.1493172309566861</v>
      </c>
      <c r="E265" s="64">
        <f>'Arbeidsark-K'!W266*Vekting!$D$3</f>
        <v>3.8540203150202505E-2</v>
      </c>
      <c r="F265" s="64">
        <f>'Arbeidsark-K'!X266*Vekting!$E$3</f>
        <v>0</v>
      </c>
      <c r="G265" s="64">
        <f>'Arbeidsark-K'!Y266*Vekting!$F$3</f>
        <v>0.27544751653742594</v>
      </c>
      <c r="H265" s="64">
        <f>'Arbeidsark-K'!Z266*Vekting!$G$3</f>
        <v>0.74270914878550309</v>
      </c>
      <c r="I265" s="64">
        <f>'Arbeidsark-K'!AA266*Vekting!$H$3</f>
        <v>1.1065155097560009</v>
      </c>
      <c r="J265" s="64">
        <f>'Arbeidsark-K'!AB266*Vekting!$I$3</f>
        <v>10</v>
      </c>
      <c r="K265" s="64">
        <f>'Arbeidsark-K'!AC266*Vekting!$J$3</f>
        <v>2.2292569143618794</v>
      </c>
      <c r="L265" s="63">
        <f t="shared" si="4"/>
        <v>20.5417865235477</v>
      </c>
      <c r="M265" s="65" t="s">
        <v>709</v>
      </c>
    </row>
    <row r="266" spans="1:13" x14ac:dyDescent="0.25">
      <c r="A266" s="66" t="s">
        <v>261</v>
      </c>
      <c r="B266" s="66">
        <v>265</v>
      </c>
      <c r="C266" s="64">
        <f>'Arbeidsark-K'!U267*Vekting!$B$3</f>
        <v>12</v>
      </c>
      <c r="D266" s="64">
        <f>'Arbeidsark-K'!V267*Vekting!$C$3</f>
        <v>2.2327910898387424</v>
      </c>
      <c r="E266" s="64">
        <f>'Arbeidsark-K'!W267*Vekting!$D$3</f>
        <v>0.30511014171179768</v>
      </c>
      <c r="F266" s="64">
        <f>'Arbeidsark-K'!X267*Vekting!$E$3</f>
        <v>7.05263669717736</v>
      </c>
      <c r="G266" s="64">
        <f>'Arbeidsark-K'!Y267*Vekting!$F$3</f>
        <v>3.0656669701923573</v>
      </c>
      <c r="H266" s="64">
        <f>'Arbeidsark-K'!Z267*Vekting!$G$3</f>
        <v>1.2724576024658476</v>
      </c>
      <c r="I266" s="64">
        <f>'Arbeidsark-K'!AA267*Vekting!$H$3</f>
        <v>3.7509428448807061</v>
      </c>
      <c r="J266" s="64">
        <f>'Arbeidsark-K'!AB267*Vekting!$I$3</f>
        <v>10</v>
      </c>
      <c r="K266" s="64">
        <f>'Arbeidsark-K'!AC267*Vekting!$J$3</f>
        <v>4.2285904698433852</v>
      </c>
      <c r="L266" s="63">
        <f t="shared" si="4"/>
        <v>43.908195816110194</v>
      </c>
      <c r="M266" s="65" t="s">
        <v>710</v>
      </c>
    </row>
    <row r="267" spans="1:13" x14ac:dyDescent="0.25">
      <c r="A267" s="66" t="s">
        <v>262</v>
      </c>
      <c r="B267" s="66">
        <v>266</v>
      </c>
      <c r="C267" s="64">
        <f>'Arbeidsark-K'!U268*Vekting!$B$3</f>
        <v>14</v>
      </c>
      <c r="D267" s="64">
        <f>'Arbeidsark-K'!V268*Vekting!$C$3</f>
        <v>3.0715687363471451</v>
      </c>
      <c r="E267" s="64">
        <f>'Arbeidsark-K'!W268*Vekting!$D$3</f>
        <v>0.21034247395319172</v>
      </c>
      <c r="F267" s="64">
        <f>'Arbeidsark-K'!X268*Vekting!$E$3</f>
        <v>6.5364073778803693</v>
      </c>
      <c r="G267" s="64">
        <f>'Arbeidsark-K'!Y268*Vekting!$F$3</f>
        <v>1.1345389598707243</v>
      </c>
      <c r="H267" s="64">
        <f>'Arbeidsark-K'!Z268*Vekting!$G$3</f>
        <v>2.5300219836611961</v>
      </c>
      <c r="I267" s="64">
        <f>'Arbeidsark-K'!AA268*Vekting!$H$3</f>
        <v>0</v>
      </c>
      <c r="J267" s="64">
        <f>'Arbeidsark-K'!AB268*Vekting!$I$3</f>
        <v>6.8735476097572858</v>
      </c>
      <c r="K267" s="64">
        <f>'Arbeidsark-K'!AC268*Vekting!$J$3</f>
        <v>0.54093080084416278</v>
      </c>
      <c r="L267" s="63">
        <f t="shared" si="4"/>
        <v>34.897357942314081</v>
      </c>
      <c r="M267" s="65" t="s">
        <v>711</v>
      </c>
    </row>
    <row r="268" spans="1:13" x14ac:dyDescent="0.25">
      <c r="A268" s="66" t="s">
        <v>263</v>
      </c>
      <c r="B268" s="66">
        <v>267</v>
      </c>
      <c r="C268" s="64">
        <f>'Arbeidsark-K'!U269*Vekting!$B$3</f>
        <v>14</v>
      </c>
      <c r="D268" s="64">
        <f>'Arbeidsark-K'!V269*Vekting!$C$3</f>
        <v>3.3623808898717282</v>
      </c>
      <c r="E268" s="64">
        <f>'Arbeidsark-K'!W269*Vekting!$D$3</f>
        <v>1.6049646301122538</v>
      </c>
      <c r="F268" s="64">
        <f>'Arbeidsark-K'!X269*Vekting!$E$3</f>
        <v>7.3284202619768797</v>
      </c>
      <c r="G268" s="64">
        <f>'Arbeidsark-K'!Y269*Vekting!$F$3</f>
        <v>2.3184928121681021</v>
      </c>
      <c r="H268" s="64">
        <f>'Arbeidsark-K'!Z269*Vekting!$G$3</f>
        <v>3.4147700346380456</v>
      </c>
      <c r="I268" s="64">
        <f>'Arbeidsark-K'!AA269*Vekting!$H$3</f>
        <v>1.0838527124932085</v>
      </c>
      <c r="J268" s="64">
        <f>'Arbeidsark-K'!AB269*Vekting!$I$3</f>
        <v>8.3865188084269473</v>
      </c>
      <c r="K268" s="64">
        <f>'Arbeidsark-K'!AC269*Vekting!$J$3</f>
        <v>4.6951016327890711</v>
      </c>
      <c r="L268" s="63">
        <f t="shared" si="4"/>
        <v>46.194501782476237</v>
      </c>
      <c r="M268" s="65" t="s">
        <v>712</v>
      </c>
    </row>
    <row r="269" spans="1:13" x14ac:dyDescent="0.25">
      <c r="A269" s="66" t="s">
        <v>264</v>
      </c>
      <c r="B269" s="66">
        <v>268</v>
      </c>
      <c r="C269" s="64">
        <f>'Arbeidsark-K'!U270*Vekting!$B$3</f>
        <v>14</v>
      </c>
      <c r="D269" s="64">
        <f>'Arbeidsark-K'!V270*Vekting!$C$3</f>
        <v>4.1419190236251229</v>
      </c>
      <c r="E269" s="64">
        <f>'Arbeidsark-K'!W270*Vekting!$D$3</f>
        <v>2.8050706500881959</v>
      </c>
      <c r="F269" s="64">
        <f>'Arbeidsark-K'!X270*Vekting!$E$3</f>
        <v>20</v>
      </c>
      <c r="G269" s="64">
        <f>'Arbeidsark-K'!Y270*Vekting!$F$3</f>
        <v>5</v>
      </c>
      <c r="H269" s="64">
        <f>'Arbeidsark-K'!Z270*Vekting!$G$3</f>
        <v>5</v>
      </c>
      <c r="I269" s="64">
        <f>'Arbeidsark-K'!AA270*Vekting!$H$3</f>
        <v>10</v>
      </c>
      <c r="J269" s="64">
        <f>'Arbeidsark-K'!AB270*Vekting!$I$3</f>
        <v>6.1921867777972253</v>
      </c>
      <c r="K269" s="64">
        <f>'Arbeidsark-K'!AC270*Vekting!$J$3</f>
        <v>7.5497056536709994</v>
      </c>
      <c r="L269" s="63">
        <f t="shared" si="4"/>
        <v>74.688882105181534</v>
      </c>
      <c r="M269" s="65" t="s">
        <v>713</v>
      </c>
    </row>
    <row r="270" spans="1:13" x14ac:dyDescent="0.25">
      <c r="A270" s="66" t="s">
        <v>265</v>
      </c>
      <c r="B270" s="66">
        <v>269</v>
      </c>
      <c r="C270" s="64">
        <f>'Arbeidsark-K'!U271*Vekting!$B$3</f>
        <v>14</v>
      </c>
      <c r="D270" s="64">
        <f>'Arbeidsark-K'!V271*Vekting!$C$3</f>
        <v>4.0261327032403349</v>
      </c>
      <c r="E270" s="64">
        <f>'Arbeidsark-K'!W271*Vekting!$D$3</f>
        <v>10</v>
      </c>
      <c r="F270" s="64">
        <f>'Arbeidsark-K'!X271*Vekting!$E$3</f>
        <v>20</v>
      </c>
      <c r="G270" s="64">
        <f>'Arbeidsark-K'!Y271*Vekting!$F$3</f>
        <v>4.6057879373495458</v>
      </c>
      <c r="H270" s="64">
        <f>'Arbeidsark-K'!Z271*Vekting!$G$3</f>
        <v>4.7832130932099668</v>
      </c>
      <c r="I270" s="64">
        <f>'Arbeidsark-K'!AA271*Vekting!$H$3</f>
        <v>8.8959442555125445</v>
      </c>
      <c r="J270" s="64">
        <f>'Arbeidsark-K'!AB271*Vekting!$I$3</f>
        <v>6.9870079028717313</v>
      </c>
      <c r="K270" s="64">
        <f>'Arbeidsark-K'!AC271*Vekting!$J$3</f>
        <v>6.2390314339664563</v>
      </c>
      <c r="L270" s="63">
        <f t="shared" si="4"/>
        <v>79.537117326150593</v>
      </c>
      <c r="M270" s="65" t="s">
        <v>714</v>
      </c>
    </row>
    <row r="271" spans="1:13" x14ac:dyDescent="0.25">
      <c r="A271" s="66" t="s">
        <v>266</v>
      </c>
      <c r="B271" s="66">
        <v>270</v>
      </c>
      <c r="C271" s="64">
        <f>'Arbeidsark-K'!U272*Vekting!$B$3</f>
        <v>14</v>
      </c>
      <c r="D271" s="64">
        <f>'Arbeidsark-K'!V272*Vekting!$C$3</f>
        <v>5.3482509197270955</v>
      </c>
      <c r="E271" s="64">
        <f>'Arbeidsark-K'!W272*Vekting!$D$3</f>
        <v>10</v>
      </c>
      <c r="F271" s="64">
        <f>'Arbeidsark-K'!X272*Vekting!$E$3</f>
        <v>20</v>
      </c>
      <c r="G271" s="64">
        <f>'Arbeidsark-K'!Y272*Vekting!$F$3</f>
        <v>4.3586828063307745</v>
      </c>
      <c r="H271" s="64">
        <f>'Arbeidsark-K'!Z272*Vekting!$G$3</f>
        <v>5</v>
      </c>
      <c r="I271" s="64">
        <f>'Arbeidsark-K'!AA272*Vekting!$H$3</f>
        <v>6.1964007672314523</v>
      </c>
      <c r="J271" s="64">
        <f>'Arbeidsark-K'!AB272*Vekting!$I$3</f>
        <v>5.9938179685708901</v>
      </c>
      <c r="K271" s="64">
        <f>'Arbeidsark-K'!AC272*Vekting!$J$3</f>
        <v>9.8378318338331674</v>
      </c>
      <c r="L271" s="63">
        <f t="shared" si="4"/>
        <v>80.73498429569338</v>
      </c>
      <c r="M271" s="65" t="s">
        <v>715</v>
      </c>
    </row>
    <row r="272" spans="1:13" x14ac:dyDescent="0.25">
      <c r="A272" s="66" t="s">
        <v>267</v>
      </c>
      <c r="B272" s="66">
        <v>271</v>
      </c>
      <c r="C272" s="64">
        <f>'Arbeidsark-K'!U273*Vekting!$B$3</f>
        <v>14</v>
      </c>
      <c r="D272" s="64">
        <f>'Arbeidsark-K'!V273*Vekting!$C$3</f>
        <v>3.8739948636649744</v>
      </c>
      <c r="E272" s="64">
        <f>'Arbeidsark-K'!W273*Vekting!$D$3</f>
        <v>2.5648650766600412</v>
      </c>
      <c r="F272" s="64">
        <f>'Arbeidsark-K'!X273*Vekting!$E$3</f>
        <v>11.765524631628544</v>
      </c>
      <c r="G272" s="64">
        <f>'Arbeidsark-K'!Y273*Vekting!$F$3</f>
        <v>2.9597740257631391</v>
      </c>
      <c r="H272" s="64">
        <f>'Arbeidsark-K'!Z273*Vekting!$G$3</f>
        <v>2.9355665325847524</v>
      </c>
      <c r="I272" s="64">
        <f>'Arbeidsark-K'!AA273*Vekting!$H$3</f>
        <v>3.2697514093909166</v>
      </c>
      <c r="J272" s="64">
        <f>'Arbeidsark-K'!AB273*Vekting!$I$3</f>
        <v>5.8742807917671946</v>
      </c>
      <c r="K272" s="64">
        <f>'Arbeidsark-K'!AC273*Vekting!$J$3</f>
        <v>6.0390980784183057</v>
      </c>
      <c r="L272" s="63">
        <f t="shared" si="4"/>
        <v>53.282855409877868</v>
      </c>
      <c r="M272" s="65" t="s">
        <v>716</v>
      </c>
    </row>
    <row r="273" spans="1:13" x14ac:dyDescent="0.25">
      <c r="A273" s="66" t="s">
        <v>268</v>
      </c>
      <c r="B273" s="66">
        <v>272</v>
      </c>
      <c r="C273" s="64">
        <f>'Arbeidsark-K'!U274*Vekting!$B$3</f>
        <v>14</v>
      </c>
      <c r="D273" s="64">
        <f>'Arbeidsark-K'!V274*Vekting!$C$3</f>
        <v>3.3085267873671755</v>
      </c>
      <c r="E273" s="64">
        <f>'Arbeidsark-K'!W274*Vekting!$D$3</f>
        <v>1.2996758858337216</v>
      </c>
      <c r="F273" s="64">
        <f>'Arbeidsark-K'!X274*Vekting!$E$3</f>
        <v>7.052798187263611</v>
      </c>
      <c r="G273" s="64">
        <f>'Arbeidsark-K'!Y274*Vekting!$F$3</f>
        <v>1.7191922029163416</v>
      </c>
      <c r="H273" s="64">
        <f>'Arbeidsark-K'!Z274*Vekting!$G$3</f>
        <v>2.9509818146452691</v>
      </c>
      <c r="I273" s="64">
        <f>'Arbeidsark-K'!AA274*Vekting!$H$3</f>
        <v>3.3313827663739488</v>
      </c>
      <c r="J273" s="64">
        <f>'Arbeidsark-K'!AB274*Vekting!$I$3</f>
        <v>4.1903640596888954</v>
      </c>
      <c r="K273" s="64">
        <f>'Arbeidsark-K'!AC274*Vekting!$J$3</f>
        <v>2.9290236587804062</v>
      </c>
      <c r="L273" s="63">
        <f t="shared" si="4"/>
        <v>40.781945362869372</v>
      </c>
      <c r="M273" s="65" t="s">
        <v>717</v>
      </c>
    </row>
    <row r="274" spans="1:13" x14ac:dyDescent="0.25">
      <c r="A274" s="66" t="s">
        <v>269</v>
      </c>
      <c r="B274" s="66">
        <v>273</v>
      </c>
      <c r="C274" s="64">
        <f>'Arbeidsark-K'!U275*Vekting!$B$3</f>
        <v>12</v>
      </c>
      <c r="D274" s="64">
        <f>'Arbeidsark-K'!V275*Vekting!$C$3</f>
        <v>3.3543027744960447</v>
      </c>
      <c r="E274" s="64">
        <f>'Arbeidsark-K'!W275*Vekting!$D$3</f>
        <v>0.27944481856224002</v>
      </c>
      <c r="F274" s="64">
        <f>'Arbeidsark-K'!X275*Vekting!$E$3</f>
        <v>6.7913293864995445</v>
      </c>
      <c r="G274" s="64">
        <f>'Arbeidsark-K'!Y275*Vekting!$F$3</f>
        <v>1.555192059062533</v>
      </c>
      <c r="H274" s="64">
        <f>'Arbeidsark-K'!Z275*Vekting!$G$3</f>
        <v>1.6561482391341777</v>
      </c>
      <c r="I274" s="64">
        <f>'Arbeidsark-K'!AA275*Vekting!$H$3</f>
        <v>2.5478284786521357</v>
      </c>
      <c r="J274" s="64">
        <f>'Arbeidsark-K'!AB275*Vekting!$I$3</f>
        <v>7.059210447824583</v>
      </c>
      <c r="K274" s="64">
        <f>'Arbeidsark-K'!AC275*Vekting!$J$3</f>
        <v>4.4840608685993564</v>
      </c>
      <c r="L274" s="63">
        <f t="shared" si="4"/>
        <v>39.727517072830622</v>
      </c>
      <c r="M274" s="65" t="s">
        <v>718</v>
      </c>
    </row>
    <row r="275" spans="1:13" x14ac:dyDescent="0.25">
      <c r="A275" s="66" t="s">
        <v>270</v>
      </c>
      <c r="B275" s="66">
        <v>274</v>
      </c>
      <c r="C275" s="64">
        <f>'Arbeidsark-K'!U276*Vekting!$B$3</f>
        <v>14</v>
      </c>
      <c r="D275" s="64">
        <f>'Arbeidsark-K'!V276*Vekting!$C$3</f>
        <v>4.0759477480570458</v>
      </c>
      <c r="E275" s="64">
        <f>'Arbeidsark-K'!W276*Vekting!$D$3</f>
        <v>0.11828477581715902</v>
      </c>
      <c r="F275" s="64">
        <f>'Arbeidsark-K'!X276*Vekting!$E$3</f>
        <v>1.2102441028698565</v>
      </c>
      <c r="G275" s="64">
        <f>'Arbeidsark-K'!Y276*Vekting!$F$3</f>
        <v>0.91713680004577969</v>
      </c>
      <c r="H275" s="64">
        <f>'Arbeidsark-K'!Z276*Vekting!$G$3</f>
        <v>1.3986583851393388</v>
      </c>
      <c r="I275" s="64">
        <f>'Arbeidsark-K'!AA276*Vekting!$H$3</f>
        <v>0</v>
      </c>
      <c r="J275" s="64">
        <f>'Arbeidsark-K'!AB276*Vekting!$I$3</f>
        <v>4.0491814525368133</v>
      </c>
      <c r="K275" s="64">
        <f>'Arbeidsark-K'!AC276*Vekting!$J$3</f>
        <v>3.651005220482062</v>
      </c>
      <c r="L275" s="63">
        <f t="shared" si="4"/>
        <v>29.420458484948057</v>
      </c>
      <c r="M275" s="65" t="s">
        <v>719</v>
      </c>
    </row>
    <row r="276" spans="1:13" x14ac:dyDescent="0.25">
      <c r="A276" s="66" t="s">
        <v>271</v>
      </c>
      <c r="B276" s="66">
        <v>275</v>
      </c>
      <c r="C276" s="64">
        <f>'Arbeidsark-K'!U277*Vekting!$B$3</f>
        <v>14</v>
      </c>
      <c r="D276" s="64">
        <f>'Arbeidsark-K'!V277*Vekting!$C$3</f>
        <v>3.9574687225470306</v>
      </c>
      <c r="E276" s="64">
        <f>'Arbeidsark-K'!W277*Vekting!$D$3</f>
        <v>1.548975376895352</v>
      </c>
      <c r="F276" s="64">
        <f>'Arbeidsark-K'!X277*Vekting!$E$3</f>
        <v>12.591513580500456</v>
      </c>
      <c r="G276" s="64">
        <f>'Arbeidsark-K'!Y277*Vekting!$F$3</f>
        <v>1.4900026487997069</v>
      </c>
      <c r="H276" s="64">
        <f>'Arbeidsark-K'!Z277*Vekting!$G$3</f>
        <v>1.8629107763064099</v>
      </c>
      <c r="I276" s="64">
        <f>'Arbeidsark-K'!AA277*Vekting!$H$3</f>
        <v>6.6068393533614937</v>
      </c>
      <c r="J276" s="64">
        <f>'Arbeidsark-K'!AB277*Vekting!$I$3</f>
        <v>7.2923193253338674</v>
      </c>
      <c r="K276" s="64">
        <f>'Arbeidsark-K'!AC277*Vekting!$J$3</f>
        <v>6.0502054870598698</v>
      </c>
      <c r="L276" s="63">
        <f t="shared" si="4"/>
        <v>55.400235270804188</v>
      </c>
      <c r="M276" s="65" t="s">
        <v>720</v>
      </c>
    </row>
    <row r="277" spans="1:13" x14ac:dyDescent="0.25">
      <c r="A277" s="66" t="s">
        <v>272</v>
      </c>
      <c r="B277" s="66">
        <v>276</v>
      </c>
      <c r="C277" s="64">
        <f>'Arbeidsark-K'!U278*Vekting!$B$3</f>
        <v>0</v>
      </c>
      <c r="D277" s="64">
        <f>'Arbeidsark-K'!V278*Vekting!$C$3</f>
        <v>0.99549308479665211</v>
      </c>
      <c r="E277" s="64">
        <f>'Arbeidsark-K'!W278*Vekting!$D$3</f>
        <v>4.2405926651366928</v>
      </c>
      <c r="F277" s="64">
        <f>'Arbeidsark-K'!X278*Vekting!$E$3</f>
        <v>2.6721475713369984</v>
      </c>
      <c r="G277" s="64">
        <f>'Arbeidsark-K'!Y278*Vekting!$F$3</f>
        <v>0</v>
      </c>
      <c r="H277" s="64">
        <f>'Arbeidsark-K'!Z278*Vekting!$G$3</f>
        <v>1.2940663317859342</v>
      </c>
      <c r="I277" s="64">
        <f>'Arbeidsark-K'!AA278*Vekting!$H$3</f>
        <v>4.7914088552336773</v>
      </c>
      <c r="J277" s="64">
        <f>'Arbeidsark-K'!AB278*Vekting!$I$3</f>
        <v>10</v>
      </c>
      <c r="K277" s="64">
        <f>'Arbeidsark-K'!AC278*Vekting!$J$3</f>
        <v>10</v>
      </c>
      <c r="L277" s="63">
        <f t="shared" si="4"/>
        <v>33.993708508289956</v>
      </c>
      <c r="M277" s="65" t="s">
        <v>721</v>
      </c>
    </row>
    <row r="278" spans="1:13" x14ac:dyDescent="0.25">
      <c r="A278" s="66" t="s">
        <v>273</v>
      </c>
      <c r="B278" s="66">
        <v>277</v>
      </c>
      <c r="C278" s="64">
        <f>'Arbeidsark-K'!U279*Vekting!$B$3</f>
        <v>14</v>
      </c>
      <c r="D278" s="64">
        <f>'Arbeidsark-K'!V279*Vekting!$C$3</f>
        <v>4.0826795108701148</v>
      </c>
      <c r="E278" s="64">
        <f>'Arbeidsark-K'!W279*Vekting!$D$3</f>
        <v>4.3817869226024468</v>
      </c>
      <c r="F278" s="64">
        <f>'Arbeidsark-K'!X279*Vekting!$E$3</f>
        <v>15.803004707424122</v>
      </c>
      <c r="G278" s="64">
        <f>'Arbeidsark-K'!Y279*Vekting!$F$3</f>
        <v>3.986358181683435</v>
      </c>
      <c r="H278" s="64">
        <f>'Arbeidsark-K'!Z279*Vekting!$G$3</f>
        <v>2.8750976661741281</v>
      </c>
      <c r="I278" s="64">
        <f>'Arbeidsark-K'!AA279*Vekting!$H$3</f>
        <v>5.9779452594197817</v>
      </c>
      <c r="J278" s="64">
        <f>'Arbeidsark-K'!AB279*Vekting!$I$3</f>
        <v>5.5129150871396293</v>
      </c>
      <c r="K278" s="64">
        <f>'Arbeidsark-K'!AC279*Vekting!$J$3</f>
        <v>8.9825613684327461</v>
      </c>
      <c r="L278" s="63">
        <f t="shared" si="4"/>
        <v>65.602348703746415</v>
      </c>
      <c r="M278" s="65" t="s">
        <v>722</v>
      </c>
    </row>
    <row r="279" spans="1:13" x14ac:dyDescent="0.25">
      <c r="A279" s="66" t="s">
        <v>274</v>
      </c>
      <c r="B279" s="66">
        <v>278</v>
      </c>
      <c r="C279" s="64">
        <f>'Arbeidsark-K'!U280*Vekting!$B$3</f>
        <v>14</v>
      </c>
      <c r="D279" s="64">
        <f>'Arbeidsark-K'!V280*Vekting!$C$3</f>
        <v>5.1907276699012792</v>
      </c>
      <c r="E279" s="64">
        <f>'Arbeidsark-K'!W280*Vekting!$D$3</f>
        <v>1.8707249576814691</v>
      </c>
      <c r="F279" s="64">
        <f>'Arbeidsark-K'!X280*Vekting!$E$3</f>
        <v>10.453350048952867</v>
      </c>
      <c r="G279" s="64">
        <f>'Arbeidsark-K'!Y280*Vekting!$F$3</f>
        <v>3.6486551198177413</v>
      </c>
      <c r="H279" s="64">
        <f>'Arbeidsark-K'!Z280*Vekting!$G$3</f>
        <v>3.6017640905703021</v>
      </c>
      <c r="I279" s="64">
        <f>'Arbeidsark-K'!AA280*Vekting!$H$3</f>
        <v>2.6228666100892442</v>
      </c>
      <c r="J279" s="64">
        <f>'Arbeidsark-K'!AB280*Vekting!$I$3</f>
        <v>7.1846956782791738</v>
      </c>
      <c r="K279" s="64">
        <f>'Arbeidsark-K'!AC280*Vekting!$J$3</f>
        <v>6.3389981117405316</v>
      </c>
      <c r="L279" s="63">
        <f t="shared" si="4"/>
        <v>54.911782287032608</v>
      </c>
      <c r="M279" s="65" t="s">
        <v>723</v>
      </c>
    </row>
    <row r="280" spans="1:13" x14ac:dyDescent="0.25">
      <c r="A280" s="66" t="s">
        <v>275</v>
      </c>
      <c r="B280" s="66">
        <v>279</v>
      </c>
      <c r="C280" s="64">
        <f>'Arbeidsark-K'!U281*Vekting!$B$3</f>
        <v>14</v>
      </c>
      <c r="D280" s="64">
        <f>'Arbeidsark-K'!V281*Vekting!$C$3</f>
        <v>4.9147253945654485</v>
      </c>
      <c r="E280" s="64">
        <f>'Arbeidsark-K'!W281*Vekting!$D$3</f>
        <v>1.5997837129834693</v>
      </c>
      <c r="F280" s="64">
        <f>'Arbeidsark-K'!X281*Vekting!$E$3</f>
        <v>6.9764243344304138</v>
      </c>
      <c r="G280" s="64">
        <f>'Arbeidsark-K'!Y281*Vekting!$F$3</f>
        <v>2.7310677113552835</v>
      </c>
      <c r="H280" s="64">
        <f>'Arbeidsark-K'!Z281*Vekting!$G$3</f>
        <v>3.7684652603757627</v>
      </c>
      <c r="I280" s="64">
        <f>'Arbeidsark-K'!AA281*Vekting!$H$3</f>
        <v>0</v>
      </c>
      <c r="J280" s="64">
        <f>'Arbeidsark-K'!AB281*Vekting!$I$3</f>
        <v>8.0300470694245529</v>
      </c>
      <c r="K280" s="64">
        <f>'Arbeidsark-K'!AC281*Vekting!$J$3</f>
        <v>6.3167832944574034</v>
      </c>
      <c r="L280" s="63">
        <f t="shared" si="4"/>
        <v>48.337296777592336</v>
      </c>
      <c r="M280" s="65" t="s">
        <v>724</v>
      </c>
    </row>
    <row r="281" spans="1:13" x14ac:dyDescent="0.25">
      <c r="A281" s="66" t="s">
        <v>276</v>
      </c>
      <c r="B281" s="66">
        <v>280</v>
      </c>
      <c r="C281" s="64">
        <f>'Arbeidsark-K'!U282*Vekting!$B$3</f>
        <v>12</v>
      </c>
      <c r="D281" s="64">
        <f>'Arbeidsark-K'!V282*Vekting!$C$3</f>
        <v>4.863563997186124</v>
      </c>
      <c r="E281" s="64">
        <f>'Arbeidsark-K'!W282*Vekting!$D$3</f>
        <v>2.3915292824165078</v>
      </c>
      <c r="F281" s="64">
        <f>'Arbeidsark-K'!X282*Vekting!$E$3</f>
        <v>12.547515673867972</v>
      </c>
      <c r="G281" s="64">
        <f>'Arbeidsark-K'!Y282*Vekting!$F$3</f>
        <v>2.5810380653685927</v>
      </c>
      <c r="H281" s="64">
        <f>'Arbeidsark-K'!Z282*Vekting!$G$3</f>
        <v>2.9753476136725805</v>
      </c>
      <c r="I281" s="64">
        <f>'Arbeidsark-K'!AA282*Vekting!$H$3</f>
        <v>5.9375520792288565</v>
      </c>
      <c r="J281" s="64">
        <f>'Arbeidsark-K'!AB282*Vekting!$I$3</f>
        <v>4.2623539382793023</v>
      </c>
      <c r="K281" s="64">
        <f>'Arbeidsark-K'!AC282*Vekting!$J$3</f>
        <v>8.0384316338998101</v>
      </c>
      <c r="L281" s="63">
        <f t="shared" si="4"/>
        <v>55.597332283919755</v>
      </c>
      <c r="M281" s="65" t="s">
        <v>725</v>
      </c>
    </row>
    <row r="282" spans="1:13" x14ac:dyDescent="0.25">
      <c r="A282" s="66" t="s">
        <v>277</v>
      </c>
      <c r="B282" s="66">
        <v>281</v>
      </c>
      <c r="C282" s="64">
        <f>'Arbeidsark-K'!U283*Vekting!$B$3</f>
        <v>14</v>
      </c>
      <c r="D282" s="64">
        <f>'Arbeidsark-K'!V283*Vekting!$C$3</f>
        <v>4.754509439614405</v>
      </c>
      <c r="E282" s="64">
        <f>'Arbeidsark-K'!W283*Vekting!$D$3</f>
        <v>0.41709271883420346</v>
      </c>
      <c r="F282" s="64">
        <f>'Arbeidsark-K'!X283*Vekting!$E$3</f>
        <v>3.5260009208036283</v>
      </c>
      <c r="G282" s="64">
        <f>'Arbeidsark-K'!Y283*Vekting!$F$3</f>
        <v>2.0347172889587339</v>
      </c>
      <c r="H282" s="64">
        <f>'Arbeidsark-K'!Z283*Vekting!$G$3</f>
        <v>1.8659124609127824</v>
      </c>
      <c r="I282" s="64">
        <f>'Arbeidsark-K'!AA283*Vekting!$H$3</f>
        <v>3.9509516700231835</v>
      </c>
      <c r="J282" s="64">
        <f>'Arbeidsark-K'!AB283*Vekting!$I$3</f>
        <v>8.917736481892117</v>
      </c>
      <c r="K282" s="64">
        <f>'Arbeidsark-K'!AC283*Vekting!$J$3</f>
        <v>4.7395312673553267</v>
      </c>
      <c r="L282" s="63">
        <f t="shared" si="4"/>
        <v>44.206452248394378</v>
      </c>
      <c r="M282" s="65" t="s">
        <v>726</v>
      </c>
    </row>
    <row r="283" spans="1:13" x14ac:dyDescent="0.25">
      <c r="A283" s="66" t="s">
        <v>278</v>
      </c>
      <c r="B283" s="66">
        <v>282</v>
      </c>
      <c r="C283" s="64">
        <f>'Arbeidsark-K'!U284*Vekting!$B$3</f>
        <v>12</v>
      </c>
      <c r="D283" s="64">
        <f>'Arbeidsark-K'!V284*Vekting!$C$3</f>
        <v>3.9386197866704373</v>
      </c>
      <c r="E283" s="64">
        <f>'Arbeidsark-K'!W284*Vekting!$D$3</f>
        <v>0.59524979391359523</v>
      </c>
      <c r="F283" s="64">
        <f>'Arbeidsark-K'!X284*Vekting!$E$3</f>
        <v>5.3961371612545896</v>
      </c>
      <c r="G283" s="64">
        <f>'Arbeidsark-K'!Y284*Vekting!$F$3</f>
        <v>0.52881050890840631</v>
      </c>
      <c r="H283" s="64">
        <f>'Arbeidsark-K'!Z284*Vekting!$G$3</f>
        <v>0.54479297533314264</v>
      </c>
      <c r="I283" s="64">
        <f>'Arbeidsark-K'!AA284*Vekting!$H$3</f>
        <v>1.371636150230954</v>
      </c>
      <c r="J283" s="64">
        <f>'Arbeidsark-K'!AB284*Vekting!$I$3</f>
        <v>4.2647631599049634</v>
      </c>
      <c r="K283" s="64">
        <f>'Arbeidsark-K'!AC284*Vekting!$J$3</f>
        <v>1.2629123625458178</v>
      </c>
      <c r="L283" s="63">
        <f t="shared" si="4"/>
        <v>29.902921898761907</v>
      </c>
      <c r="M283" s="65" t="s">
        <v>727</v>
      </c>
    </row>
    <row r="284" spans="1:13" x14ac:dyDescent="0.25">
      <c r="A284" s="66" t="s">
        <v>279</v>
      </c>
      <c r="B284" s="66">
        <v>283</v>
      </c>
      <c r="C284" s="64">
        <f>'Arbeidsark-K'!U285*Vekting!$B$3</f>
        <v>4</v>
      </c>
      <c r="D284" s="64">
        <f>'Arbeidsark-K'!V285*Vekting!$C$3</f>
        <v>2.8548059737663216</v>
      </c>
      <c r="E284" s="64">
        <f>'Arbeidsark-K'!W285*Vekting!$D$3</f>
        <v>0.2171405518786827</v>
      </c>
      <c r="F284" s="64">
        <f>'Arbeidsark-K'!X285*Vekting!$E$3</f>
        <v>2.2657043008194337</v>
      </c>
      <c r="G284" s="64">
        <f>'Arbeidsark-K'!Y285*Vekting!$F$3</f>
        <v>1.0054728042153991</v>
      </c>
      <c r="H284" s="64">
        <f>'Arbeidsark-K'!Z285*Vekting!$G$3</f>
        <v>2.5302253070057747</v>
      </c>
      <c r="I284" s="64">
        <f>'Arbeidsark-K'!AA285*Vekting!$H$3</f>
        <v>2.1884961175027429</v>
      </c>
      <c r="J284" s="64">
        <f>'Arbeidsark-K'!AB285*Vekting!$I$3</f>
        <v>3.5321564763277298</v>
      </c>
      <c r="K284" s="64">
        <f>'Arbeidsark-K'!AC285*Vekting!$J$3</f>
        <v>4.4174164167499725</v>
      </c>
      <c r="L284" s="63">
        <f t="shared" si="4"/>
        <v>23.011417948266057</v>
      </c>
      <c r="M284" s="65" t="s">
        <v>728</v>
      </c>
    </row>
    <row r="285" spans="1:13" x14ac:dyDescent="0.25">
      <c r="A285" s="66" t="s">
        <v>280</v>
      </c>
      <c r="B285" s="66">
        <v>284</v>
      </c>
      <c r="C285" s="64">
        <f>'Arbeidsark-K'!U286*Vekting!$B$3</f>
        <v>4</v>
      </c>
      <c r="D285" s="64">
        <f>'Arbeidsark-K'!V286*Vekting!$C$3</f>
        <v>1.6592448981652599</v>
      </c>
      <c r="E285" s="64">
        <f>'Arbeidsark-K'!W286*Vekting!$D$3</f>
        <v>0.2337677430884483</v>
      </c>
      <c r="F285" s="64">
        <f>'Arbeidsark-K'!X286*Vekting!$E$3</f>
        <v>3.8004352815350702</v>
      </c>
      <c r="G285" s="64">
        <f>'Arbeidsark-K'!Y286*Vekting!$F$3</f>
        <v>1.6714111548887816</v>
      </c>
      <c r="H285" s="64">
        <f>'Arbeidsark-K'!Z286*Vekting!$G$3</f>
        <v>1.7124204254373165</v>
      </c>
      <c r="I285" s="64">
        <f>'Arbeidsark-K'!AA286*Vekting!$H$3</f>
        <v>5.5070456737198619</v>
      </c>
      <c r="J285" s="64">
        <f>'Arbeidsark-K'!AB286*Vekting!$I$3</f>
        <v>7.9181039870575738</v>
      </c>
      <c r="K285" s="64">
        <f>'Arbeidsark-K'!AC286*Vekting!$J$3</f>
        <v>1.5517049872264808</v>
      </c>
      <c r="L285" s="63">
        <f t="shared" si="4"/>
        <v>28.054134151118792</v>
      </c>
      <c r="M285" s="65" t="s">
        <v>729</v>
      </c>
    </row>
    <row r="286" spans="1:13" x14ac:dyDescent="0.25">
      <c r="A286" s="66" t="s">
        <v>281</v>
      </c>
      <c r="B286" s="66">
        <v>285</v>
      </c>
      <c r="C286" s="64">
        <f>'Arbeidsark-K'!U287*Vekting!$B$3</f>
        <v>4</v>
      </c>
      <c r="D286" s="64">
        <f>'Arbeidsark-K'!V287*Vekting!$C$3</f>
        <v>1.4303649625209123</v>
      </c>
      <c r="E286" s="64">
        <f>'Arbeidsark-K'!W287*Vekting!$D$3</f>
        <v>0.14615933039356718</v>
      </c>
      <c r="F286" s="64">
        <f>'Arbeidsark-K'!X287*Vekting!$E$3</f>
        <v>3.234646784502786</v>
      </c>
      <c r="G286" s="64">
        <f>'Arbeidsark-K'!Y287*Vekting!$F$3</f>
        <v>1.6836510703542722</v>
      </c>
      <c r="H286" s="64">
        <f>'Arbeidsark-K'!Z287*Vekting!$G$3</f>
        <v>0.63520768993884802</v>
      </c>
      <c r="I286" s="64">
        <f>'Arbeidsark-K'!AA287*Vekting!$H$3</f>
        <v>2.0558493500506501</v>
      </c>
      <c r="J286" s="64">
        <f>'Arbeidsark-K'!AB287*Vekting!$I$3</f>
        <v>10</v>
      </c>
      <c r="K286" s="64">
        <f>'Arbeidsark-K'!AC287*Vekting!$J$3</f>
        <v>1.6183494390758639</v>
      </c>
      <c r="L286" s="63">
        <f t="shared" si="4"/>
        <v>24.804228626836903</v>
      </c>
      <c r="M286" s="65" t="s">
        <v>730</v>
      </c>
    </row>
    <row r="287" spans="1:13" x14ac:dyDescent="0.25">
      <c r="A287" s="66" t="s">
        <v>282</v>
      </c>
      <c r="B287" s="66">
        <v>286</v>
      </c>
      <c r="C287" s="64">
        <f>'Arbeidsark-K'!U288*Vekting!$B$3</f>
        <v>4</v>
      </c>
      <c r="D287" s="64">
        <f>'Arbeidsark-K'!V288*Vekting!$C$3</f>
        <v>2.5909208714940153</v>
      </c>
      <c r="E287" s="64">
        <f>'Arbeidsark-K'!W288*Vekting!$D$3</f>
        <v>0.30372386835541221</v>
      </c>
      <c r="F287" s="64">
        <f>'Arbeidsark-K'!X288*Vekting!$E$3</f>
        <v>0.98549194352505087</v>
      </c>
      <c r="G287" s="64">
        <f>'Arbeidsark-K'!Y288*Vekting!$F$3</f>
        <v>0.10102519807153741</v>
      </c>
      <c r="H287" s="64">
        <f>'Arbeidsark-K'!Z288*Vekting!$G$3</f>
        <v>0</v>
      </c>
      <c r="I287" s="64">
        <f>'Arbeidsark-K'!AA288*Vekting!$H$3</f>
        <v>1.4040291257857818</v>
      </c>
      <c r="J287" s="64">
        <f>'Arbeidsark-K'!AB288*Vekting!$I$3</f>
        <v>3.8653097664147475</v>
      </c>
      <c r="K287" s="64">
        <f>'Arbeidsark-K'!AC288*Vekting!$J$3</f>
        <v>0.85193824280795249</v>
      </c>
      <c r="L287" s="63">
        <f t="shared" si="4"/>
        <v>14.102439016454499</v>
      </c>
      <c r="M287" s="65" t="s">
        <v>731</v>
      </c>
    </row>
    <row r="288" spans="1:13" x14ac:dyDescent="0.25">
      <c r="A288" s="66" t="s">
        <v>283</v>
      </c>
      <c r="B288" s="66">
        <v>287</v>
      </c>
      <c r="C288" s="64">
        <f>'Arbeidsark-K'!U289*Vekting!$B$3</f>
        <v>0</v>
      </c>
      <c r="D288" s="64">
        <f>'Arbeidsark-K'!V289*Vekting!$C$3</f>
        <v>1.1624408025607644</v>
      </c>
      <c r="E288" s="64">
        <f>'Arbeidsark-K'!W289*Vekting!$D$3</f>
        <v>0.4992328493946005</v>
      </c>
      <c r="F288" s="64">
        <f>'Arbeidsark-K'!X289*Vekting!$E$3</f>
        <v>4.4987622328743928</v>
      </c>
      <c r="G288" s="64">
        <f>'Arbeidsark-K'!Y289*Vekting!$F$3</f>
        <v>1.8207813593308437</v>
      </c>
      <c r="H288" s="64">
        <f>'Arbeidsark-K'!Z289*Vekting!$G$3</f>
        <v>1.1422552296653177</v>
      </c>
      <c r="I288" s="64">
        <f>'Arbeidsark-K'!AA289*Vekting!$H$3</f>
        <v>8.1000508615845561</v>
      </c>
      <c r="J288" s="64">
        <f>'Arbeidsark-K'!AB289*Vekting!$I$3</f>
        <v>6.9031895615954753</v>
      </c>
      <c r="K288" s="64">
        <f>'Arbeidsark-K'!AC289*Vekting!$J$3</f>
        <v>4.3285571476174614</v>
      </c>
      <c r="L288" s="63">
        <f t="shared" si="4"/>
        <v>28.455270044623411</v>
      </c>
      <c r="M288" s="65" t="s">
        <v>732</v>
      </c>
    </row>
    <row r="289" spans="1:13" x14ac:dyDescent="0.25">
      <c r="A289" s="66" t="s">
        <v>284</v>
      </c>
      <c r="B289" s="66">
        <v>288</v>
      </c>
      <c r="C289" s="64">
        <f>'Arbeidsark-K'!U290*Vekting!$B$3</f>
        <v>0</v>
      </c>
      <c r="D289" s="64">
        <f>'Arbeidsark-K'!V290*Vekting!$C$3</f>
        <v>2.572071935617422</v>
      </c>
      <c r="E289" s="64">
        <f>'Arbeidsark-K'!W290*Vekting!$D$3</f>
        <v>0.32434689417557938</v>
      </c>
      <c r="F289" s="64">
        <f>'Arbeidsark-K'!X290*Vekting!$E$3</f>
        <v>6.5360337398091133</v>
      </c>
      <c r="G289" s="64">
        <f>'Arbeidsark-K'!Y290*Vekting!$F$3</f>
        <v>0.89020770788490822</v>
      </c>
      <c r="H289" s="64">
        <f>'Arbeidsark-K'!Z290*Vekting!$G$3</f>
        <v>0.92665518089266341</v>
      </c>
      <c r="I289" s="64">
        <f>'Arbeidsark-K'!AA290*Vekting!$H$3</f>
        <v>4.4456214831800107</v>
      </c>
      <c r="J289" s="64">
        <f>'Arbeidsark-K'!AB290*Vekting!$I$3</f>
        <v>6.4041453043744498</v>
      </c>
      <c r="K289" s="64">
        <f>'Arbeidsark-K'!AC290*Vekting!$J$3</f>
        <v>4.6395645895812505</v>
      </c>
      <c r="L289" s="63">
        <f t="shared" si="4"/>
        <v>26.738646835515397</v>
      </c>
      <c r="M289" s="65" t="s">
        <v>733</v>
      </c>
    </row>
    <row r="290" spans="1:13" x14ac:dyDescent="0.25">
      <c r="A290" s="66" t="s">
        <v>877</v>
      </c>
      <c r="B290" s="66">
        <v>289</v>
      </c>
      <c r="C290" s="64">
        <f>'Arbeidsark-K'!U291*Vekting!$B$3</f>
        <v>18</v>
      </c>
      <c r="D290" s="64">
        <f>'Arbeidsark-K'!V291*Vekting!$C$3</f>
        <v>4.6346840615417761</v>
      </c>
      <c r="E290" s="64">
        <f>'Arbeidsark-K'!W291*Vekting!$D$3</f>
        <v>10</v>
      </c>
      <c r="F290" s="64">
        <f>'Arbeidsark-K'!X291*Vekting!$E$3</f>
        <v>20</v>
      </c>
      <c r="G290" s="64">
        <f>'Arbeidsark-K'!Y291*Vekting!$F$3</f>
        <v>5</v>
      </c>
      <c r="H290" s="64">
        <f>'Arbeidsark-K'!Z291*Vekting!$G$3</f>
        <v>5</v>
      </c>
      <c r="I290" s="64">
        <f>'Arbeidsark-K'!AA291*Vekting!$H$3</f>
        <v>8.343867385451194</v>
      </c>
      <c r="J290" s="64">
        <f>'Arbeidsark-K'!AB291*Vekting!$I$3</f>
        <v>1.3352112894190313</v>
      </c>
      <c r="K290" s="64">
        <f>'Arbeidsark-K'!AC291*Vekting!$J$3</f>
        <v>8.971453959791182</v>
      </c>
      <c r="L290" s="63">
        <f t="shared" si="4"/>
        <v>81.285216696203179</v>
      </c>
      <c r="M290" s="65" t="s">
        <v>734</v>
      </c>
    </row>
    <row r="291" spans="1:13" x14ac:dyDescent="0.25">
      <c r="A291" s="66" t="s">
        <v>878</v>
      </c>
      <c r="B291" s="66">
        <v>290</v>
      </c>
      <c r="C291" s="64">
        <f>'Arbeidsark-K'!U292*Vekting!$B$3</f>
        <v>10</v>
      </c>
      <c r="D291" s="64">
        <f>'Arbeidsark-K'!V292*Vekting!$C$3</f>
        <v>2.543798531802532</v>
      </c>
      <c r="E291" s="64">
        <f>'Arbeidsark-K'!W292*Vekting!$D$3</f>
        <v>0.95385822950560883</v>
      </c>
      <c r="F291" s="64">
        <f>'Arbeidsark-K'!X292*Vekting!$E$3</f>
        <v>10.328886846717001</v>
      </c>
      <c r="G291" s="64">
        <f>'Arbeidsark-K'!Y292*Vekting!$F$3</f>
        <v>2.9893778373707818</v>
      </c>
      <c r="H291" s="64">
        <f>'Arbeidsark-K'!Z292*Vekting!$G$3</f>
        <v>2.409003381556877</v>
      </c>
      <c r="I291" s="64">
        <f>'Arbeidsark-K'!AA292*Vekting!$H$3</f>
        <v>6.0676699038364914</v>
      </c>
      <c r="J291" s="64">
        <f>'Arbeidsark-K'!AB292*Vekting!$I$3</f>
        <v>3.6520754849842221</v>
      </c>
      <c r="K291" s="64">
        <f>'Arbeidsark-K'!AC292*Vekting!$J$3</f>
        <v>2.662445851382873</v>
      </c>
      <c r="L291" s="63">
        <f t="shared" si="4"/>
        <v>41.607116067156383</v>
      </c>
      <c r="M291" s="65" t="s">
        <v>735</v>
      </c>
    </row>
    <row r="292" spans="1:13" x14ac:dyDescent="0.25">
      <c r="A292" s="66" t="s">
        <v>879</v>
      </c>
      <c r="B292" s="66">
        <v>291</v>
      </c>
      <c r="C292" s="64">
        <f>'Arbeidsark-K'!U293*Vekting!$B$3</f>
        <v>10</v>
      </c>
      <c r="D292" s="64">
        <f>'Arbeidsark-K'!V293*Vekting!$C$3</f>
        <v>3.1038811978498764</v>
      </c>
      <c r="E292" s="64">
        <f>'Arbeidsark-K'!W293*Vekting!$D$3</f>
        <v>1.1564522743016354</v>
      </c>
      <c r="F292" s="64">
        <f>'Arbeidsark-K'!X293*Vekting!$E$3</f>
        <v>7.9731715857346446</v>
      </c>
      <c r="G292" s="64">
        <f>'Arbeidsark-K'!Y293*Vekting!$F$3</f>
        <v>3.7491185078500595</v>
      </c>
      <c r="H292" s="64">
        <f>'Arbeidsark-K'!Z293*Vekting!$G$3</f>
        <v>3.5487751500702189</v>
      </c>
      <c r="I292" s="64">
        <f>'Arbeidsark-K'!AA293*Vekting!$H$3</f>
        <v>4.9943783947733458</v>
      </c>
      <c r="J292" s="64">
        <f>'Arbeidsark-K'!AB293*Vekting!$I$3</f>
        <v>6.3239175011032183</v>
      </c>
      <c r="K292" s="64">
        <f>'Arbeidsark-K'!AC293*Vekting!$J$3</f>
        <v>3.7398644896145736</v>
      </c>
      <c r="L292" s="63">
        <f t="shared" si="4"/>
        <v>44.589559101297574</v>
      </c>
      <c r="M292" s="65" t="s">
        <v>736</v>
      </c>
    </row>
    <row r="293" spans="1:13" x14ac:dyDescent="0.25">
      <c r="A293" s="66" t="s">
        <v>880</v>
      </c>
      <c r="B293" s="66">
        <v>292</v>
      </c>
      <c r="C293" s="64">
        <f>'Arbeidsark-K'!U294*Vekting!$B$3</f>
        <v>4</v>
      </c>
      <c r="D293" s="64">
        <f>'Arbeidsark-K'!V294*Vekting!$C$3</f>
        <v>1.5084534111525132</v>
      </c>
      <c r="E293" s="64">
        <f>'Arbeidsark-K'!W294*Vekting!$D$3</f>
        <v>0.38101693441006435</v>
      </c>
      <c r="F293" s="64">
        <f>'Arbeidsark-K'!X294*Vekting!$E$3</f>
        <v>4.9411673306365209</v>
      </c>
      <c r="G293" s="64">
        <f>'Arbeidsark-K'!Y294*Vekting!$F$3</f>
        <v>2.9782019665502464</v>
      </c>
      <c r="H293" s="64">
        <f>'Arbeidsark-K'!Z294*Vekting!$G$3</f>
        <v>1.9233821965150466</v>
      </c>
      <c r="I293" s="64">
        <f>'Arbeidsark-K'!AA294*Vekting!$H$3</f>
        <v>8.3277736987316686</v>
      </c>
      <c r="J293" s="64">
        <f>'Arbeidsark-K'!AB294*Vekting!$I$3</f>
        <v>6.1972306269550828</v>
      </c>
      <c r="K293" s="64">
        <f>'Arbeidsark-K'!AC294*Vekting!$J$3</f>
        <v>1.9071420637565255</v>
      </c>
      <c r="L293" s="63">
        <f t="shared" si="4"/>
        <v>32.164368228707666</v>
      </c>
      <c r="M293" s="65" t="s">
        <v>737</v>
      </c>
    </row>
    <row r="294" spans="1:13" x14ac:dyDescent="0.25">
      <c r="A294" s="66" t="s">
        <v>881</v>
      </c>
      <c r="B294" s="66">
        <v>293</v>
      </c>
      <c r="C294" s="64">
        <f>'Arbeidsark-K'!U295*Vekting!$B$3</f>
        <v>12</v>
      </c>
      <c r="D294" s="64">
        <f>'Arbeidsark-K'!V295*Vekting!$C$3</f>
        <v>2.2449082629022667</v>
      </c>
      <c r="E294" s="64">
        <f>'Arbeidsark-K'!W295*Vekting!$D$3</f>
        <v>5.1215291213333104E-2</v>
      </c>
      <c r="F294" s="64">
        <f>'Arbeidsark-K'!X295*Vekting!$E$3</f>
        <v>1.406800560597705</v>
      </c>
      <c r="G294" s="64">
        <f>'Arbeidsark-K'!Y295*Vekting!$F$3</f>
        <v>0</v>
      </c>
      <c r="H294" s="64">
        <f>'Arbeidsark-K'!Z295*Vekting!$G$3</f>
        <v>0.76982197440040512</v>
      </c>
      <c r="I294" s="64">
        <f>'Arbeidsark-K'!AA295*Vekting!$H$3</f>
        <v>2.5986188584419398</v>
      </c>
      <c r="J294" s="64">
        <f>'Arbeidsark-K'!AB295*Vekting!$I$3</f>
        <v>8.8855505630651148</v>
      </c>
      <c r="K294" s="64">
        <f>'Arbeidsark-K'!AC295*Vekting!$J$3</f>
        <v>2.4069754526269023</v>
      </c>
      <c r="L294" s="63">
        <f t="shared" si="4"/>
        <v>30.36389096324767</v>
      </c>
      <c r="M294" s="65" t="s">
        <v>738</v>
      </c>
    </row>
    <row r="295" spans="1:13" x14ac:dyDescent="0.25">
      <c r="A295" s="66" t="s">
        <v>882</v>
      </c>
      <c r="B295" s="66">
        <v>294</v>
      </c>
      <c r="C295" s="64">
        <f>'Arbeidsark-K'!U296*Vekting!$B$3</f>
        <v>2</v>
      </c>
      <c r="D295" s="64">
        <f>'Arbeidsark-K'!V296*Vekting!$C$3</f>
        <v>0.31962409836452016</v>
      </c>
      <c r="E295" s="64">
        <f>'Arbeidsark-K'!W296*Vekting!$D$3</f>
        <v>0.41752782869970134</v>
      </c>
      <c r="F295" s="64">
        <f>'Arbeidsark-K'!X296*Vekting!$E$3</f>
        <v>18.194204241830601</v>
      </c>
      <c r="G295" s="64">
        <f>'Arbeidsark-K'!Y296*Vekting!$F$3</f>
        <v>4.1407641069734122</v>
      </c>
      <c r="H295" s="64">
        <f>'Arbeidsark-K'!Z296*Vekting!$G$3</f>
        <v>2.2931891325508333</v>
      </c>
      <c r="I295" s="64">
        <f>'Arbeidsark-K'!AA296*Vekting!$H$3</f>
        <v>10</v>
      </c>
      <c r="J295" s="64">
        <f>'Arbeidsark-K'!AB296*Vekting!$I$3</f>
        <v>4.476218374946547</v>
      </c>
      <c r="K295" s="64">
        <f>'Arbeidsark-K'!AC296*Vekting!$J$3</f>
        <v>3.5510385427079871</v>
      </c>
      <c r="L295" s="63">
        <f t="shared" si="4"/>
        <v>45.392566326073599</v>
      </c>
      <c r="M295" s="65" t="s">
        <v>739</v>
      </c>
    </row>
    <row r="296" spans="1:13" x14ac:dyDescent="0.25">
      <c r="A296" s="66" t="s">
        <v>883</v>
      </c>
      <c r="B296" s="66">
        <v>295</v>
      </c>
      <c r="C296" s="64">
        <f>'Arbeidsark-K'!U297*Vekting!$B$3</f>
        <v>2</v>
      </c>
      <c r="D296" s="64">
        <f>'Arbeidsark-K'!V297*Vekting!$C$3</f>
        <v>0</v>
      </c>
      <c r="E296" s="64">
        <f>'Arbeidsark-K'!W297*Vekting!$D$3</f>
        <v>1.4326417890054388</v>
      </c>
      <c r="F296" s="64">
        <f>'Arbeidsark-K'!X297*Vekting!$E$3</f>
        <v>20</v>
      </c>
      <c r="G296" s="64">
        <f>'Arbeidsark-K'!Y297*Vekting!$F$3</f>
        <v>5</v>
      </c>
      <c r="H296" s="64">
        <f>'Arbeidsark-K'!Z297*Vekting!$G$3</f>
        <v>3.9228179556036959</v>
      </c>
      <c r="I296" s="64">
        <f>'Arbeidsark-K'!AA297*Vekting!$H$3</f>
        <v>10</v>
      </c>
      <c r="J296" s="64">
        <f>'Arbeidsark-K'!AB297*Vekting!$I$3</f>
        <v>4.2164392189013036</v>
      </c>
      <c r="K296" s="64">
        <f>'Arbeidsark-K'!AC297*Vekting!$J$3</f>
        <v>10</v>
      </c>
      <c r="L296" s="63">
        <f t="shared" si="4"/>
        <v>56.571898963510435</v>
      </c>
      <c r="M296" s="65" t="s">
        <v>740</v>
      </c>
    </row>
    <row r="297" spans="1:13" x14ac:dyDescent="0.25">
      <c r="A297" s="66" t="s">
        <v>884</v>
      </c>
      <c r="B297" s="66">
        <v>296</v>
      </c>
      <c r="C297" s="64">
        <f>'Arbeidsark-K'!U298*Vekting!$B$3</f>
        <v>2</v>
      </c>
      <c r="D297" s="64">
        <f>'Arbeidsark-K'!V298*Vekting!$C$3</f>
        <v>0.23076482923200878</v>
      </c>
      <c r="E297" s="64">
        <f>'Arbeidsark-K'!W298*Vekting!$D$3</f>
        <v>5.295825375747917</v>
      </c>
      <c r="F297" s="64">
        <f>'Arbeidsark-K'!X298*Vekting!$E$3</f>
        <v>8.0823331729916479</v>
      </c>
      <c r="G297" s="64">
        <f>'Arbeidsark-K'!Y298*Vekting!$F$3</f>
        <v>3.7503080972732734</v>
      </c>
      <c r="H297" s="64">
        <f>'Arbeidsark-K'!Z298*Vekting!$G$3</f>
        <v>2.9361860750264093</v>
      </c>
      <c r="I297" s="64">
        <f>'Arbeidsark-K'!AA298*Vekting!$H$3</f>
        <v>7.1955217191250487</v>
      </c>
      <c r="J297" s="64">
        <f>'Arbeidsark-K'!AB298*Vekting!$I$3</f>
        <v>3.1613530152784253</v>
      </c>
      <c r="K297" s="64">
        <f>'Arbeidsark-K'!AC298*Vekting!$J$3</f>
        <v>3.6732200377651893</v>
      </c>
      <c r="L297" s="63">
        <f t="shared" si="4"/>
        <v>36.32551232243992</v>
      </c>
      <c r="M297" s="65" t="s">
        <v>741</v>
      </c>
    </row>
    <row r="298" spans="1:13" x14ac:dyDescent="0.25">
      <c r="A298" s="66" t="s">
        <v>885</v>
      </c>
      <c r="B298" s="66">
        <v>297</v>
      </c>
      <c r="C298" s="64">
        <f>'Arbeidsark-K'!U299*Vekting!$B$3</f>
        <v>12</v>
      </c>
      <c r="D298" s="64">
        <f>'Arbeidsark-K'!V299*Vekting!$C$3</f>
        <v>2.2058640385864661</v>
      </c>
      <c r="E298" s="64">
        <f>'Arbeidsark-K'!W299*Vekting!$D$3</f>
        <v>0.30908580938380653</v>
      </c>
      <c r="F298" s="64">
        <f>'Arbeidsark-K'!X299*Vekting!$E$3</f>
        <v>1.5913020318027038</v>
      </c>
      <c r="G298" s="64">
        <f>'Arbeidsark-K'!Y299*Vekting!$F$3</f>
        <v>0</v>
      </c>
      <c r="H298" s="64">
        <f>'Arbeidsark-K'!Z299*Vekting!$G$3</f>
        <v>0</v>
      </c>
      <c r="I298" s="64">
        <f>'Arbeidsark-K'!AA299*Vekting!$H$3</f>
        <v>0</v>
      </c>
      <c r="J298" s="64">
        <f>'Arbeidsark-K'!AB299*Vekting!$I$3</f>
        <v>8.094877886721795</v>
      </c>
      <c r="K298" s="64">
        <f>'Arbeidsark-K'!AC299*Vekting!$J$3</f>
        <v>0</v>
      </c>
      <c r="L298" s="63">
        <f t="shared" si="4"/>
        <v>24.201129766494773</v>
      </c>
      <c r="M298" s="65" t="s">
        <v>742</v>
      </c>
    </row>
    <row r="299" spans="1:13" x14ac:dyDescent="0.25">
      <c r="A299" s="66" t="s">
        <v>886</v>
      </c>
      <c r="B299" s="66">
        <v>298</v>
      </c>
      <c r="C299" s="64">
        <f>'Arbeidsark-K'!U300*Vekting!$B$3</f>
        <v>2</v>
      </c>
      <c r="D299" s="64">
        <f>'Arbeidsark-K'!V300*Vekting!$C$3</f>
        <v>0.40309795724657627</v>
      </c>
      <c r="E299" s="64">
        <f>'Arbeidsark-K'!W300*Vekting!$D$3</f>
        <v>0.8435664226989531</v>
      </c>
      <c r="F299" s="64">
        <f>'Arbeidsark-K'!X300*Vekting!$E$3</f>
        <v>9.6278911551361546</v>
      </c>
      <c r="G299" s="64">
        <f>'Arbeidsark-K'!Y300*Vekting!$F$3</f>
        <v>2.5312475698505619</v>
      </c>
      <c r="H299" s="64">
        <f>'Arbeidsark-K'!Z300*Vekting!$G$3</f>
        <v>2.1525273869210952</v>
      </c>
      <c r="I299" s="64">
        <f>'Arbeidsark-K'!AA300*Vekting!$H$3</f>
        <v>5.7954412938804296</v>
      </c>
      <c r="J299" s="64">
        <f>'Arbeidsark-K'!AB300*Vekting!$I$3</f>
        <v>2.7603356548980913</v>
      </c>
      <c r="K299" s="64">
        <f>'Arbeidsark-K'!AC300*Vekting!$J$3</f>
        <v>1.9404642896812179</v>
      </c>
      <c r="L299" s="63">
        <f t="shared" si="4"/>
        <v>28.054571730313079</v>
      </c>
      <c r="M299" s="65" t="s">
        <v>743</v>
      </c>
    </row>
    <row r="300" spans="1:13" x14ac:dyDescent="0.25">
      <c r="A300" s="66" t="s">
        <v>887</v>
      </c>
      <c r="B300" s="66">
        <v>299</v>
      </c>
      <c r="C300" s="64">
        <f>'Arbeidsark-K'!U301*Vekting!$B$3</f>
        <v>0</v>
      </c>
      <c r="D300" s="64">
        <f>'Arbeidsark-K'!V301*Vekting!$C$3</f>
        <v>0.52696239300704661</v>
      </c>
      <c r="E300" s="64">
        <f>'Arbeidsark-K'!W301*Vekting!$D$3</f>
        <v>0.16191977825163947</v>
      </c>
      <c r="F300" s="64">
        <f>'Arbeidsark-K'!X301*Vekting!$E$3</f>
        <v>4.8299550569511416</v>
      </c>
      <c r="G300" s="64">
        <f>'Arbeidsark-K'!Y301*Vekting!$F$3</f>
        <v>0.14577642882369091</v>
      </c>
      <c r="H300" s="64">
        <f>'Arbeidsark-K'!Z301*Vekting!$G$3</f>
        <v>0.54134279129503815</v>
      </c>
      <c r="I300" s="64">
        <f>'Arbeidsark-K'!AA301*Vekting!$H$3</f>
        <v>6.9334525506717286</v>
      </c>
      <c r="J300" s="64">
        <f>'Arbeidsark-K'!AB301*Vekting!$I$3</f>
        <v>9.2422619896946525</v>
      </c>
      <c r="K300" s="64">
        <f>'Arbeidsark-K'!AC301*Vekting!$J$3</f>
        <v>2.2181495057203153</v>
      </c>
      <c r="L300" s="63">
        <f t="shared" si="4"/>
        <v>24.599820494415251</v>
      </c>
      <c r="M300" s="65" t="s">
        <v>744</v>
      </c>
    </row>
    <row r="301" spans="1:13" x14ac:dyDescent="0.25">
      <c r="A301" s="66" t="s">
        <v>888</v>
      </c>
      <c r="B301" s="66">
        <v>300</v>
      </c>
      <c r="C301" s="64">
        <f>'Arbeidsark-K'!U302*Vekting!$B$3</f>
        <v>0</v>
      </c>
      <c r="D301" s="64">
        <f>'Arbeidsark-K'!V302*Vekting!$C$3</f>
        <v>0</v>
      </c>
      <c r="E301" s="64">
        <f>'Arbeidsark-K'!W302*Vekting!$D$3</f>
        <v>9.7959115118928256E-2</v>
      </c>
      <c r="F301" s="64">
        <f>'Arbeidsark-K'!X302*Vekting!$E$3</f>
        <v>0</v>
      </c>
      <c r="G301" s="64">
        <f>'Arbeidsark-K'!Y302*Vekting!$F$3</f>
        <v>1.2077109469096463</v>
      </c>
      <c r="H301" s="64">
        <f>'Arbeidsark-K'!Z302*Vekting!$G$3</f>
        <v>0</v>
      </c>
      <c r="I301" s="64">
        <f>'Arbeidsark-K'!AA302*Vekting!$H$3</f>
        <v>5.2320940184315852</v>
      </c>
      <c r="J301" s="64">
        <f>'Arbeidsark-K'!AB302*Vekting!$I$3</f>
        <v>9.4012560472449831</v>
      </c>
      <c r="K301" s="64">
        <f>'Arbeidsark-K'!AC302*Vekting!$J$3</f>
        <v>6.3312229256914071E-2</v>
      </c>
      <c r="L301" s="63">
        <f t="shared" si="4"/>
        <v>16.002332356962057</v>
      </c>
      <c r="M301" s="65" t="s">
        <v>745</v>
      </c>
    </row>
    <row r="302" spans="1:13" x14ac:dyDescent="0.25">
      <c r="A302" s="66" t="s">
        <v>889</v>
      </c>
      <c r="B302" s="66">
        <v>301</v>
      </c>
      <c r="C302" s="64">
        <f>'Arbeidsark-K'!U303*Vekting!$B$3</f>
        <v>0</v>
      </c>
      <c r="D302" s="64">
        <f>'Arbeidsark-K'!V303*Vekting!$C$3</f>
        <v>0.59158731601250947</v>
      </c>
      <c r="E302" s="64">
        <f>'Arbeidsark-K'!W303*Vekting!$D$3</f>
        <v>9.5437461192096867E-2</v>
      </c>
      <c r="F302" s="64">
        <f>'Arbeidsark-K'!X303*Vekting!$E$3</f>
        <v>0</v>
      </c>
      <c r="G302" s="64">
        <f>'Arbeidsark-K'!Y303*Vekting!$F$3</f>
        <v>0</v>
      </c>
      <c r="H302" s="64">
        <f>'Arbeidsark-K'!Z303*Vekting!$G$3</f>
        <v>0</v>
      </c>
      <c r="I302" s="64">
        <f>'Arbeidsark-K'!AA303*Vekting!$H$3</f>
        <v>0</v>
      </c>
      <c r="J302" s="64">
        <f>'Arbeidsark-K'!AB303*Vekting!$I$3</f>
        <v>7.0374503999319984</v>
      </c>
      <c r="K302" s="64">
        <f>'Arbeidsark-K'!AC303*Vekting!$J$3</f>
        <v>0.9074752860157731</v>
      </c>
      <c r="L302" s="63">
        <f t="shared" si="4"/>
        <v>8.6319504631523785</v>
      </c>
      <c r="M302" s="65" t="s">
        <v>746</v>
      </c>
    </row>
    <row r="303" spans="1:13" x14ac:dyDescent="0.25">
      <c r="A303" s="66" t="s">
        <v>890</v>
      </c>
      <c r="B303" s="66">
        <v>302</v>
      </c>
      <c r="C303" s="64">
        <f>'Arbeidsark-K'!U304*Vekting!$B$3</f>
        <v>4</v>
      </c>
      <c r="D303" s="64">
        <f>'Arbeidsark-K'!V304*Vekting!$C$3</f>
        <v>0.57273838013591616</v>
      </c>
      <c r="E303" s="64">
        <f>'Arbeidsark-K'!W304*Vekting!$D$3</f>
        <v>0.13570615588024568</v>
      </c>
      <c r="F303" s="64">
        <f>'Arbeidsark-K'!X304*Vekting!$E$3</f>
        <v>10.528463685380542</v>
      </c>
      <c r="G303" s="64">
        <f>'Arbeidsark-K'!Y304*Vekting!$F$3</f>
        <v>2.1971864597618391</v>
      </c>
      <c r="H303" s="64">
        <f>'Arbeidsark-K'!Z304*Vekting!$G$3</f>
        <v>2.1207324571258073</v>
      </c>
      <c r="I303" s="64">
        <f>'Arbeidsark-K'!AA304*Vekting!$H$3</f>
        <v>3.6478112503654794</v>
      </c>
      <c r="J303" s="64">
        <f>'Arbeidsark-K'!AB304*Vekting!$I$3</f>
        <v>6.1719177116676907</v>
      </c>
      <c r="K303" s="64">
        <f>'Arbeidsark-K'!AC304*Vekting!$J$3</f>
        <v>2.3736532267022099</v>
      </c>
      <c r="L303" s="63">
        <f t="shared" si="4"/>
        <v>31.74820932701973</v>
      </c>
      <c r="M303" s="65" t="s">
        <v>747</v>
      </c>
    </row>
    <row r="304" spans="1:13" x14ac:dyDescent="0.25">
      <c r="A304" s="66" t="s">
        <v>891</v>
      </c>
      <c r="B304" s="66">
        <v>303</v>
      </c>
      <c r="C304" s="64">
        <f>'Arbeidsark-K'!U305*Vekting!$B$3</f>
        <v>12</v>
      </c>
      <c r="D304" s="64">
        <f>'Arbeidsark-K'!V305*Vekting!$C$3</f>
        <v>1.8410024941181238</v>
      </c>
      <c r="E304" s="64">
        <f>'Arbeidsark-K'!W305*Vekting!$D$3</f>
        <v>0.1081323258332148</v>
      </c>
      <c r="F304" s="64">
        <f>'Arbeidsark-K'!X305*Vekting!$E$3</f>
        <v>2.1147204175529679</v>
      </c>
      <c r="G304" s="64">
        <f>'Arbeidsark-K'!Y305*Vekting!$F$3</f>
        <v>0.26727622114636207</v>
      </c>
      <c r="H304" s="64">
        <f>'Arbeidsark-K'!Z305*Vekting!$G$3</f>
        <v>0.128067114730918</v>
      </c>
      <c r="I304" s="64">
        <f>'Arbeidsark-K'!AA305*Vekting!$H$3</f>
        <v>0</v>
      </c>
      <c r="J304" s="64">
        <f>'Arbeidsark-K'!AB305*Vekting!$I$3</f>
        <v>8.5347606689973716</v>
      </c>
      <c r="K304" s="64">
        <f>'Arbeidsark-K'!AC305*Vekting!$J$3</f>
        <v>0.10774186382317055</v>
      </c>
      <c r="L304" s="63">
        <f t="shared" si="4"/>
        <v>25.101701106202128</v>
      </c>
      <c r="M304" s="65" t="s">
        <v>748</v>
      </c>
    </row>
    <row r="305" spans="1:13" x14ac:dyDescent="0.25">
      <c r="A305" s="66" t="s">
        <v>892</v>
      </c>
      <c r="B305" s="66">
        <v>304</v>
      </c>
      <c r="C305" s="64">
        <f>'Arbeidsark-K'!U306*Vekting!$B$3</f>
        <v>12</v>
      </c>
      <c r="D305" s="64">
        <f>'Arbeidsark-K'!V306*Vekting!$C$3</f>
        <v>2.0860386605138372</v>
      </c>
      <c r="E305" s="64">
        <f>'Arbeidsark-K'!W306*Vekting!$D$3</f>
        <v>0.38837953056454355</v>
      </c>
      <c r="F305" s="64">
        <f>'Arbeidsark-K'!X306*Vekting!$E$3</f>
        <v>6.0231953680375856</v>
      </c>
      <c r="G305" s="64">
        <f>'Arbeidsark-K'!Y306*Vekting!$F$3</f>
        <v>1.8985975308363565</v>
      </c>
      <c r="H305" s="64">
        <f>'Arbeidsark-K'!Z306*Vekting!$G$3</f>
        <v>1.2829832615005605</v>
      </c>
      <c r="I305" s="64">
        <f>'Arbeidsark-K'!AA306*Vekting!$H$3</f>
        <v>2.5291637723962666</v>
      </c>
      <c r="J305" s="64">
        <f>'Arbeidsark-K'!AB306*Vekting!$I$3</f>
        <v>4.7737307066495367</v>
      </c>
      <c r="K305" s="64">
        <f>'Arbeidsark-K'!AC306*Vekting!$J$3</f>
        <v>3.2178162834610688</v>
      </c>
      <c r="L305" s="63">
        <f t="shared" si="4"/>
        <v>34.199905113959758</v>
      </c>
      <c r="M305" s="65" t="s">
        <v>749</v>
      </c>
    </row>
    <row r="306" spans="1:13" x14ac:dyDescent="0.25">
      <c r="A306" s="66" t="s">
        <v>893</v>
      </c>
      <c r="B306" s="66">
        <v>305</v>
      </c>
      <c r="C306" s="64">
        <f>'Arbeidsark-K'!U307*Vekting!$B$3</f>
        <v>12</v>
      </c>
      <c r="D306" s="64">
        <f>'Arbeidsark-K'!V307*Vekting!$C$3</f>
        <v>3.4108495821258247</v>
      </c>
      <c r="E306" s="64">
        <f>'Arbeidsark-K'!W307*Vekting!$D$3</f>
        <v>1.3983649961572198</v>
      </c>
      <c r="F306" s="64">
        <f>'Arbeidsark-K'!X307*Vekting!$E$3</f>
        <v>13.295699925272286</v>
      </c>
      <c r="G306" s="64">
        <f>'Arbeidsark-K'!Y307*Vekting!$F$3</f>
        <v>3.3963145962829304</v>
      </c>
      <c r="H306" s="64">
        <f>'Arbeidsark-K'!Z307*Vekting!$G$3</f>
        <v>3.4835285683517414</v>
      </c>
      <c r="I306" s="64">
        <f>'Arbeidsark-K'!AA307*Vekting!$H$3</f>
        <v>5.192200326210898</v>
      </c>
      <c r="J306" s="64">
        <f>'Arbeidsark-K'!AB307*Vekting!$I$3</f>
        <v>4.5825552371267699</v>
      </c>
      <c r="K306" s="64">
        <f>'Arbeidsark-K'!AC307*Vekting!$J$3</f>
        <v>4.7950683105631455</v>
      </c>
      <c r="L306" s="63">
        <f t="shared" si="4"/>
        <v>51.554581542090808</v>
      </c>
      <c r="M306" s="65" t="s">
        <v>750</v>
      </c>
    </row>
    <row r="307" spans="1:13" x14ac:dyDescent="0.25">
      <c r="A307" s="66" t="s">
        <v>894</v>
      </c>
      <c r="B307" s="66">
        <v>306</v>
      </c>
      <c r="C307" s="64">
        <f>'Arbeidsark-K'!U308*Vekting!$B$3</f>
        <v>4</v>
      </c>
      <c r="D307" s="64">
        <f>'Arbeidsark-K'!V308*Vekting!$C$3</f>
        <v>5.4869252336763177</v>
      </c>
      <c r="E307" s="64">
        <f>'Arbeidsark-K'!W308*Vekting!$D$3</f>
        <v>0.12138241915179721</v>
      </c>
      <c r="F307" s="64">
        <f>'Arbeidsark-K'!X308*Vekting!$E$3</f>
        <v>3.9685088730546116</v>
      </c>
      <c r="G307" s="64">
        <f>'Arbeidsark-K'!Y308*Vekting!$F$3</f>
        <v>2.311042416586067</v>
      </c>
      <c r="H307" s="64">
        <f>'Arbeidsark-K'!Z308*Vekting!$G$3</f>
        <v>0.98892236192544714</v>
      </c>
      <c r="I307" s="64">
        <f>'Arbeidsark-K'!AA308*Vekting!$H$3</f>
        <v>3.0961694114935159</v>
      </c>
      <c r="J307" s="64">
        <f>'Arbeidsark-K'!AB308*Vekting!$I$3</f>
        <v>8.8945708831370691</v>
      </c>
      <c r="K307" s="64">
        <f>'Arbeidsark-K'!AC308*Vekting!$J$3</f>
        <v>2.6846606686659999</v>
      </c>
      <c r="L307" s="63">
        <f t="shared" si="4"/>
        <v>31.552182267690824</v>
      </c>
      <c r="M307" s="65" t="s">
        <v>751</v>
      </c>
    </row>
    <row r="308" spans="1:13" x14ac:dyDescent="0.25">
      <c r="A308" s="66" t="s">
        <v>895</v>
      </c>
      <c r="B308" s="66">
        <v>307</v>
      </c>
      <c r="C308" s="64">
        <f>'Arbeidsark-K'!U309*Vekting!$B$3</f>
        <v>4</v>
      </c>
      <c r="D308" s="64">
        <f>'Arbeidsark-K'!V309*Vekting!$C$3</f>
        <v>4.4219603566487953</v>
      </c>
      <c r="E308" s="64">
        <f>'Arbeidsark-K'!W309*Vekting!$D$3</f>
        <v>3.3252954844731168E-2</v>
      </c>
      <c r="F308" s="64">
        <f>'Arbeidsark-K'!X309*Vekting!$E$3</f>
        <v>3.452720541623711</v>
      </c>
      <c r="G308" s="64">
        <f>'Arbeidsark-K'!Y309*Vekting!$F$3</f>
        <v>1.3574703289846632</v>
      </c>
      <c r="H308" s="64">
        <f>'Arbeidsark-K'!Z309*Vekting!$G$3</f>
        <v>0.14031850352928413</v>
      </c>
      <c r="I308" s="64">
        <f>'Arbeidsark-K'!AA309*Vekting!$H$3</f>
        <v>1.3236051864772378</v>
      </c>
      <c r="J308" s="64">
        <f>'Arbeidsark-K'!AB309*Vekting!$I$3</f>
        <v>8.9085146126883057</v>
      </c>
      <c r="K308" s="64">
        <f>'Arbeidsark-K'!AC309*Vekting!$J$3</f>
        <v>0.17438631567255386</v>
      </c>
      <c r="L308" s="63">
        <f t="shared" si="4"/>
        <v>23.812228800469281</v>
      </c>
      <c r="M308" s="65" t="s">
        <v>752</v>
      </c>
    </row>
    <row r="309" spans="1:13" x14ac:dyDescent="0.25">
      <c r="A309" s="66" t="s">
        <v>896</v>
      </c>
      <c r="B309" s="66">
        <v>308</v>
      </c>
      <c r="C309" s="64">
        <f>'Arbeidsark-K'!U310*Vekting!$B$3</f>
        <v>18</v>
      </c>
      <c r="D309" s="64">
        <f>'Arbeidsark-K'!V310*Vekting!$C$3</f>
        <v>2.9800167620894062</v>
      </c>
      <c r="E309" s="64">
        <f>'Arbeidsark-K'!W310*Vekting!$D$3</f>
        <v>0.1603106454892739</v>
      </c>
      <c r="F309" s="64">
        <f>'Arbeidsark-K'!X310*Vekting!$E$3</f>
        <v>10.988553454471871</v>
      </c>
      <c r="G309" s="64">
        <f>'Arbeidsark-K'!Y310*Vekting!$F$3</f>
        <v>4.2805978112218446</v>
      </c>
      <c r="H309" s="64">
        <f>'Arbeidsark-K'!Z310*Vekting!$G$3</f>
        <v>2.8534734408274449</v>
      </c>
      <c r="I309" s="64">
        <f>'Arbeidsark-K'!AA310*Vekting!$H$3</f>
        <v>7.7359885963240558</v>
      </c>
      <c r="J309" s="64">
        <f>'Arbeidsark-K'!AB310*Vekting!$I$3</f>
        <v>9.5558224181370459</v>
      </c>
      <c r="K309" s="64">
        <f>'Arbeidsark-K'!AC310*Vekting!$J$3</f>
        <v>2.8734866155725869</v>
      </c>
      <c r="L309" s="63">
        <f t="shared" si="4"/>
        <v>59.428249744133531</v>
      </c>
      <c r="M309" s="65" t="s">
        <v>753</v>
      </c>
    </row>
    <row r="310" spans="1:13" x14ac:dyDescent="0.25">
      <c r="A310" s="66" t="s">
        <v>897</v>
      </c>
      <c r="B310" s="66">
        <v>309</v>
      </c>
      <c r="C310" s="64">
        <f>'Arbeidsark-K'!U311*Vekting!$B$3</f>
        <v>18</v>
      </c>
      <c r="D310" s="64">
        <f>'Arbeidsark-K'!V311*Vekting!$C$3</f>
        <v>4.0894112736831838</v>
      </c>
      <c r="E310" s="64">
        <f>'Arbeidsark-K'!W311*Vekting!$D$3</f>
        <v>1.6473325072338427</v>
      </c>
      <c r="F310" s="64">
        <f>'Arbeidsark-K'!X311*Vekting!$E$3</f>
        <v>16.195904213334213</v>
      </c>
      <c r="G310" s="64">
        <f>'Arbeidsark-K'!Y311*Vekting!$F$3</f>
        <v>4.0905772822947961</v>
      </c>
      <c r="H310" s="64">
        <f>'Arbeidsark-K'!Z311*Vekting!$G$3</f>
        <v>4.3010666094270205</v>
      </c>
      <c r="I310" s="64">
        <f>'Arbeidsark-K'!AA311*Vekting!$H$3</f>
        <v>8.826472642965415</v>
      </c>
      <c r="J310" s="64">
        <f>'Arbeidsark-K'!AB311*Vekting!$I$3</f>
        <v>6.2695170920354508</v>
      </c>
      <c r="K310" s="64">
        <f>'Arbeidsark-K'!AC311*Vekting!$J$3</f>
        <v>5.1171831611684997</v>
      </c>
      <c r="L310" s="63">
        <f t="shared" si="4"/>
        <v>68.537464782142422</v>
      </c>
      <c r="M310" s="65" t="s">
        <v>754</v>
      </c>
    </row>
    <row r="311" spans="1:13" x14ac:dyDescent="0.25">
      <c r="A311" s="66" t="s">
        <v>898</v>
      </c>
      <c r="B311" s="66">
        <v>310</v>
      </c>
      <c r="C311" s="64">
        <f>'Arbeidsark-K'!U312*Vekting!$B$3</f>
        <v>18</v>
      </c>
      <c r="D311" s="64">
        <f>'Arbeidsark-K'!V312*Vekting!$C$3</f>
        <v>3.7891746522203045</v>
      </c>
      <c r="E311" s="64">
        <f>'Arbeidsark-K'!W312*Vekting!$D$3</f>
        <v>2.5664899524684301</v>
      </c>
      <c r="F311" s="64">
        <f>'Arbeidsark-K'!X312*Vekting!$E$3</f>
        <v>20</v>
      </c>
      <c r="G311" s="64">
        <f>'Arbeidsark-K'!Y312*Vekting!$F$3</f>
        <v>5</v>
      </c>
      <c r="H311" s="64">
        <f>'Arbeidsark-K'!Z312*Vekting!$G$3</f>
        <v>5</v>
      </c>
      <c r="I311" s="64">
        <f>'Arbeidsark-K'!AA312*Vekting!$H$3</f>
        <v>9.5096785244232134</v>
      </c>
      <c r="J311" s="64">
        <f>'Arbeidsark-K'!AB312*Vekting!$I$3</f>
        <v>6.9013259361335404</v>
      </c>
      <c r="K311" s="64">
        <f>'Arbeidsark-K'!AC312*Vekting!$J$3</f>
        <v>5.9946684438520492</v>
      </c>
      <c r="L311" s="63">
        <f t="shared" si="4"/>
        <v>76.761337509097544</v>
      </c>
      <c r="M311" s="65" t="s">
        <v>755</v>
      </c>
    </row>
    <row r="312" spans="1:13" x14ac:dyDescent="0.25">
      <c r="A312" s="66" t="s">
        <v>899</v>
      </c>
      <c r="B312" s="66">
        <v>311</v>
      </c>
      <c r="C312" s="64">
        <f>'Arbeidsark-K'!U313*Vekting!$B$3</f>
        <v>18</v>
      </c>
      <c r="D312" s="64">
        <f>'Arbeidsark-K'!V313*Vekting!$C$3</f>
        <v>4.2671298119482071</v>
      </c>
      <c r="E312" s="64">
        <f>'Arbeidsark-K'!W313*Vekting!$D$3</f>
        <v>2.3267409428971404</v>
      </c>
      <c r="F312" s="64">
        <f>'Arbeidsark-K'!X313*Vekting!$E$3</f>
        <v>13.763364233563806</v>
      </c>
      <c r="G312" s="64">
        <f>'Arbeidsark-K'!Y313*Vekting!$F$3</f>
        <v>4.8242834595176092</v>
      </c>
      <c r="H312" s="64">
        <f>'Arbeidsark-K'!Z313*Vekting!$G$3</f>
        <v>5</v>
      </c>
      <c r="I312" s="64">
        <f>'Arbeidsark-K'!AA313*Vekting!$H$3</f>
        <v>3.6231051987457628</v>
      </c>
      <c r="J312" s="64">
        <f>'Arbeidsark-K'!AB313*Vekting!$I$3</f>
        <v>6.2884247445711212</v>
      </c>
      <c r="K312" s="64">
        <f>'Arbeidsark-K'!AC313*Vekting!$J$3</f>
        <v>6.7832944574030876</v>
      </c>
      <c r="L312" s="63">
        <f t="shared" si="4"/>
        <v>64.876342848646743</v>
      </c>
      <c r="M312" s="65" t="s">
        <v>756</v>
      </c>
    </row>
    <row r="313" spans="1:13" x14ac:dyDescent="0.25">
      <c r="A313" s="66" t="s">
        <v>900</v>
      </c>
      <c r="B313" s="66">
        <v>312</v>
      </c>
      <c r="C313" s="64">
        <f>'Arbeidsark-K'!U314*Vekting!$B$3</f>
        <v>18</v>
      </c>
      <c r="D313" s="64">
        <f>'Arbeidsark-K'!V314*Vekting!$C$3</f>
        <v>5.3469045671644819</v>
      </c>
      <c r="E313" s="64">
        <f>'Arbeidsark-K'!W314*Vekting!$D$3</f>
        <v>6.0221888805742223</v>
      </c>
      <c r="F313" s="64">
        <f>'Arbeidsark-K'!X314*Vekting!$E$3</f>
        <v>15.171694144504091</v>
      </c>
      <c r="G313" s="64">
        <f>'Arbeidsark-K'!Y314*Vekting!$F$3</f>
        <v>4.0073562541712677</v>
      </c>
      <c r="H313" s="64">
        <f>'Arbeidsark-K'!Z314*Vekting!$G$3</f>
        <v>5</v>
      </c>
      <c r="I313" s="64">
        <f>'Arbeidsark-K'!AA314*Vekting!$H$3</f>
        <v>10</v>
      </c>
      <c r="J313" s="64">
        <f>'Arbeidsark-K'!AB314*Vekting!$I$3</f>
        <v>4.9639169393081914</v>
      </c>
      <c r="K313" s="64">
        <f>'Arbeidsark-K'!AC314*Vekting!$J$3</f>
        <v>9.6378984782850168</v>
      </c>
      <c r="L313" s="63">
        <f t="shared" si="4"/>
        <v>78.149959264007265</v>
      </c>
      <c r="M313" s="65" t="s">
        <v>757</v>
      </c>
    </row>
    <row r="314" spans="1:13" x14ac:dyDescent="0.25">
      <c r="A314" s="66" t="s">
        <v>901</v>
      </c>
      <c r="B314" s="66">
        <v>313</v>
      </c>
      <c r="C314" s="64">
        <f>'Arbeidsark-K'!U315*Vekting!$B$3</f>
        <v>18</v>
      </c>
      <c r="D314" s="64">
        <f>'Arbeidsark-K'!V315*Vekting!$C$3</f>
        <v>4.3223302670153734</v>
      </c>
      <c r="E314" s="64">
        <f>'Arbeidsark-K'!W315*Vekting!$D$3</f>
        <v>0.15451723453001165</v>
      </c>
      <c r="F314" s="64">
        <f>'Arbeidsark-K'!X315*Vekting!$E$3</f>
        <v>8.1072153829343687</v>
      </c>
      <c r="G314" s="64">
        <f>'Arbeidsark-K'!Y315*Vekting!$F$3</f>
        <v>1.5314568948501965</v>
      </c>
      <c r="H314" s="64">
        <f>'Arbeidsark-K'!Z315*Vekting!$G$3</f>
        <v>1.4869069730547615</v>
      </c>
      <c r="I314" s="64">
        <f>'Arbeidsark-K'!AA315*Vekting!$H$3</f>
        <v>0.68245828314161949</v>
      </c>
      <c r="J314" s="64">
        <f>'Arbeidsark-K'!AB315*Vekting!$I$3</f>
        <v>8.8129857231405548</v>
      </c>
      <c r="K314" s="64">
        <f>'Arbeidsark-K'!AC315*Vekting!$J$3</f>
        <v>2.9068088414972792</v>
      </c>
      <c r="L314" s="63">
        <f t="shared" si="4"/>
        <v>46.004679600164174</v>
      </c>
      <c r="M314" s="65" t="s">
        <v>758</v>
      </c>
    </row>
    <row r="315" spans="1:13" x14ac:dyDescent="0.25">
      <c r="A315" s="66" t="s">
        <v>902</v>
      </c>
      <c r="B315" s="66">
        <v>314</v>
      </c>
      <c r="C315" s="64">
        <f>'Arbeidsark-K'!U316*Vekting!$B$3</f>
        <v>0</v>
      </c>
      <c r="D315" s="64">
        <f>'Arbeidsark-K'!V316*Vekting!$C$3</f>
        <v>3.3758444154978657</v>
      </c>
      <c r="E315" s="64">
        <f>'Arbeidsark-K'!W316*Vekting!$D$3</f>
        <v>0</v>
      </c>
      <c r="F315" s="64">
        <f>'Arbeidsark-K'!X316*Vekting!$E$3</f>
        <v>4.8983280521004788</v>
      </c>
      <c r="G315" s="64">
        <f>'Arbeidsark-K'!Y316*Vekting!$F$3</f>
        <v>2.0832414778581456</v>
      </c>
      <c r="H315" s="64">
        <f>'Arbeidsark-K'!Z316*Vekting!$G$3</f>
        <v>0.12718490090339343</v>
      </c>
      <c r="I315" s="64">
        <f>'Arbeidsark-K'!AA316*Vekting!$H$3</f>
        <v>2.2748335025808899</v>
      </c>
      <c r="J315" s="64">
        <f>'Arbeidsark-K'!AB316*Vekting!$I$3</f>
        <v>8.186096888521103</v>
      </c>
      <c r="K315" s="64">
        <f>'Arbeidsark-K'!AC316*Vekting!$J$3</f>
        <v>2.6513384427413089</v>
      </c>
      <c r="L315" s="63">
        <f t="shared" si="4"/>
        <v>23.596867680203186</v>
      </c>
      <c r="M315" s="65" t="s">
        <v>759</v>
      </c>
    </row>
    <row r="316" spans="1:13" x14ac:dyDescent="0.25">
      <c r="A316" s="66" t="s">
        <v>903</v>
      </c>
      <c r="B316" s="66">
        <v>315</v>
      </c>
      <c r="C316" s="64">
        <f>'Arbeidsark-K'!U317*Vekting!$B$3</f>
        <v>12</v>
      </c>
      <c r="D316" s="64">
        <f>'Arbeidsark-K'!V317*Vekting!$C$3</f>
        <v>3.8349506393491746</v>
      </c>
      <c r="E316" s="64">
        <f>'Arbeidsark-K'!W317*Vekting!$D$3</f>
        <v>5.3964360459926301E-2</v>
      </c>
      <c r="F316" s="64">
        <f>'Arbeidsark-K'!X317*Vekting!$E$3</f>
        <v>4.7321001895112147</v>
      </c>
      <c r="G316" s="64">
        <f>'Arbeidsark-K'!Y317*Vekting!$F$3</f>
        <v>2.2373611646836582</v>
      </c>
      <c r="H316" s="64">
        <f>'Arbeidsark-K'!Z317*Vekting!$G$3</f>
        <v>1.2335253623666134</v>
      </c>
      <c r="I316" s="64">
        <f>'Arbeidsark-K'!AA317*Vekting!$H$3</f>
        <v>4.0619280424583808</v>
      </c>
      <c r="J316" s="64">
        <f>'Arbeidsark-K'!AB317*Vekting!$I$3</f>
        <v>1.4406114164507215</v>
      </c>
      <c r="K316" s="64">
        <f>'Arbeidsark-K'!AC317*Vekting!$J$3</f>
        <v>0</v>
      </c>
      <c r="L316" s="63">
        <f t="shared" si="4"/>
        <v>29.594441175279687</v>
      </c>
      <c r="M316" s="65" t="s">
        <v>760</v>
      </c>
    </row>
    <row r="317" spans="1:13" x14ac:dyDescent="0.25">
      <c r="A317" s="66" t="s">
        <v>904</v>
      </c>
      <c r="B317" s="66">
        <v>316</v>
      </c>
      <c r="C317" s="64">
        <f>'Arbeidsark-K'!U318*Vekting!$B$3</f>
        <v>18</v>
      </c>
      <c r="D317" s="64">
        <f>'Arbeidsark-K'!V318*Vekting!$C$3</f>
        <v>5.5555892143696219</v>
      </c>
      <c r="E317" s="64">
        <f>'Arbeidsark-K'!W318*Vekting!$D$3</f>
        <v>1.7837858428571622</v>
      </c>
      <c r="F317" s="64">
        <f>'Arbeidsark-K'!X318*Vekting!$E$3</f>
        <v>18.942859933457012</v>
      </c>
      <c r="G317" s="64">
        <f>'Arbeidsark-K'!Y318*Vekting!$F$3</f>
        <v>3.335687529178553</v>
      </c>
      <c r="H317" s="64">
        <f>'Arbeidsark-K'!Z318*Vekting!$G$3</f>
        <v>3.8559067338652668</v>
      </c>
      <c r="I317" s="64">
        <f>'Arbeidsark-K'!AA318*Vekting!$H$3</f>
        <v>8.4674569400865547</v>
      </c>
      <c r="J317" s="64">
        <f>'Arbeidsark-K'!AB318*Vekting!$I$3</f>
        <v>5.3943361380436592</v>
      </c>
      <c r="K317" s="64">
        <f>'Arbeidsark-K'!AC318*Vekting!$J$3</f>
        <v>5.1393979784516279</v>
      </c>
      <c r="L317" s="63">
        <f t="shared" si="4"/>
        <v>70.475020310309461</v>
      </c>
      <c r="M317" s="65" t="s">
        <v>761</v>
      </c>
    </row>
    <row r="318" spans="1:13" x14ac:dyDescent="0.25">
      <c r="A318" s="66" t="s">
        <v>905</v>
      </c>
      <c r="B318" s="66">
        <v>317</v>
      </c>
      <c r="C318" s="64">
        <f>'Arbeidsark-K'!U319*Vekting!$B$3</f>
        <v>12</v>
      </c>
      <c r="D318" s="64">
        <f>'Arbeidsark-K'!V319*Vekting!$C$3</f>
        <v>4.1580752543764881</v>
      </c>
      <c r="E318" s="64">
        <f>'Arbeidsark-K'!W319*Vekting!$D$3</f>
        <v>2.4755129093433639</v>
      </c>
      <c r="F318" s="64">
        <f>'Arbeidsark-K'!X319*Vekting!$E$3</f>
        <v>10.614105178028296</v>
      </c>
      <c r="G318" s="64">
        <f>'Arbeidsark-K'!Y319*Vekting!$F$3</f>
        <v>2.3861638199814275</v>
      </c>
      <c r="H318" s="64">
        <f>'Arbeidsark-K'!Z319*Vekting!$G$3</f>
        <v>1.713763279961513</v>
      </c>
      <c r="I318" s="64">
        <f>'Arbeidsark-K'!AA319*Vekting!$H$3</f>
        <v>4.3645507704332394</v>
      </c>
      <c r="J318" s="64">
        <f>'Arbeidsark-K'!AB319*Vekting!$I$3</f>
        <v>2.9041981217407939</v>
      </c>
      <c r="K318" s="64">
        <f>'Arbeidsark-K'!AC319*Vekting!$J$3</f>
        <v>0</v>
      </c>
      <c r="L318" s="63">
        <f t="shared" si="4"/>
        <v>40.616369333865123</v>
      </c>
      <c r="M318" s="65" t="s">
        <v>762</v>
      </c>
    </row>
    <row r="319" spans="1:13" x14ac:dyDescent="0.25">
      <c r="A319" s="66" t="s">
        <v>906</v>
      </c>
      <c r="B319" s="66">
        <v>318</v>
      </c>
      <c r="C319" s="64">
        <f>'Arbeidsark-K'!U320*Vekting!$B$3</f>
        <v>12</v>
      </c>
      <c r="D319" s="64">
        <f>'Arbeidsark-K'!V320*Vekting!$C$3</f>
        <v>3.9359270815452101</v>
      </c>
      <c r="E319" s="64">
        <f>'Arbeidsark-K'!W320*Vekting!$D$3</f>
        <v>2.2028754193141338</v>
      </c>
      <c r="F319" s="64">
        <f>'Arbeidsark-K'!X320*Vekting!$E$3</f>
        <v>12.847207713639268</v>
      </c>
      <c r="G319" s="64">
        <f>'Arbeidsark-K'!Y320*Vekting!$F$3</f>
        <v>4.9619160334511223</v>
      </c>
      <c r="H319" s="64">
        <f>'Arbeidsark-K'!Z320*Vekting!$G$3</f>
        <v>3.7781560875732705</v>
      </c>
      <c r="I319" s="64">
        <f>'Arbeidsark-K'!AA320*Vekting!$H$3</f>
        <v>7.1006697796211631</v>
      </c>
      <c r="J319" s="64">
        <f>'Arbeidsark-K'!AB320*Vekting!$I$3</f>
        <v>4.9660430775555167</v>
      </c>
      <c r="K319" s="64">
        <f>'Arbeidsark-K'!AC320*Vekting!$J$3</f>
        <v>4.3729867821837169</v>
      </c>
      <c r="L319" s="63">
        <f t="shared" si="4"/>
        <v>56.165781974883402</v>
      </c>
      <c r="M319" s="65" t="s">
        <v>763</v>
      </c>
    </row>
    <row r="320" spans="1:13" x14ac:dyDescent="0.25">
      <c r="A320" s="66" t="s">
        <v>907</v>
      </c>
      <c r="B320" s="66">
        <v>319</v>
      </c>
      <c r="C320" s="64">
        <f>'Arbeidsark-K'!U321*Vekting!$B$3</f>
        <v>12</v>
      </c>
      <c r="D320" s="64">
        <f>'Arbeidsark-K'!V321*Vekting!$C$3</f>
        <v>3.5481775435124328</v>
      </c>
      <c r="E320" s="64">
        <f>'Arbeidsark-K'!W321*Vekting!$D$3</f>
        <v>0.62220352993248018</v>
      </c>
      <c r="F320" s="64">
        <f>'Arbeidsark-K'!X321*Vekting!$E$3</f>
        <v>10.171122942831669</v>
      </c>
      <c r="G320" s="64">
        <f>'Arbeidsark-K'!Y321*Vekting!$F$3</f>
        <v>3.2802992950351562</v>
      </c>
      <c r="H320" s="64">
        <f>'Arbeidsark-K'!Z321*Vekting!$G$3</f>
        <v>3.2353330586784703</v>
      </c>
      <c r="I320" s="64">
        <f>'Arbeidsark-K'!AA321*Vekting!$H$3</f>
        <v>5.9199759885492327</v>
      </c>
      <c r="J320" s="64">
        <f>'Arbeidsark-K'!AB321*Vekting!$I$3</f>
        <v>3.5582641410269207</v>
      </c>
      <c r="K320" s="64">
        <f>'Arbeidsark-K'!AC321*Vekting!$J$3</f>
        <v>1.396201266244586</v>
      </c>
      <c r="L320" s="63">
        <f t="shared" si="4"/>
        <v>43.731577765810947</v>
      </c>
      <c r="M320" s="65" t="s">
        <v>764</v>
      </c>
    </row>
    <row r="321" spans="1:13" x14ac:dyDescent="0.25">
      <c r="A321" s="66" t="s">
        <v>908</v>
      </c>
      <c r="B321" s="66">
        <v>320</v>
      </c>
      <c r="C321" s="64">
        <f>'Arbeidsark-K'!U322*Vekting!$B$3</f>
        <v>10</v>
      </c>
      <c r="D321" s="64">
        <f>'Arbeidsark-K'!V322*Vekting!$C$3</f>
        <v>1.37651086001636</v>
      </c>
      <c r="E321" s="64">
        <f>'Arbeidsark-K'!W322*Vekting!$D$3</f>
        <v>0.21872184262667391</v>
      </c>
      <c r="F321" s="64">
        <f>'Arbeidsark-K'!X322*Vekting!$E$3</f>
        <v>1.1503704222077573</v>
      </c>
      <c r="G321" s="64">
        <f>'Arbeidsark-K'!Y322*Vekting!$F$3</f>
        <v>0.30768667999163529</v>
      </c>
      <c r="H321" s="64">
        <f>'Arbeidsark-K'!Z322*Vekting!$G$3</f>
        <v>0.68459355491606277</v>
      </c>
      <c r="I321" s="64">
        <f>'Arbeidsark-K'!AA322*Vekting!$H$3</f>
        <v>6.0760452943435075</v>
      </c>
      <c r="J321" s="64">
        <f>'Arbeidsark-K'!AB322*Vekting!$I$3</f>
        <v>0</v>
      </c>
      <c r="K321" s="64">
        <f>'Arbeidsark-K'!AC322*Vekting!$J$3</f>
        <v>0</v>
      </c>
      <c r="L321" s="63">
        <f t="shared" si="4"/>
        <v>19.813928654101996</v>
      </c>
      <c r="M321" s="65" t="s">
        <v>765</v>
      </c>
    </row>
    <row r="322" spans="1:13" x14ac:dyDescent="0.25">
      <c r="A322" s="66" t="s">
        <v>909</v>
      </c>
      <c r="B322" s="66">
        <v>321</v>
      </c>
      <c r="C322" s="64">
        <f>'Arbeidsark-K'!U323*Vekting!$B$3</f>
        <v>10</v>
      </c>
      <c r="D322" s="64">
        <f>'Arbeidsark-K'!V323*Vekting!$C$3</f>
        <v>1.8813930709965381</v>
      </c>
      <c r="E322" s="64">
        <f>'Arbeidsark-K'!W323*Vekting!$D$3</f>
        <v>6.1439734189917772E-2</v>
      </c>
      <c r="F322" s="64">
        <f>'Arbeidsark-K'!X323*Vekting!$E$3</f>
        <v>0</v>
      </c>
      <c r="G322" s="64">
        <f>'Arbeidsark-K'!Y323*Vekting!$F$3</f>
        <v>0.31193898302058404</v>
      </c>
      <c r="H322" s="64">
        <f>'Arbeidsark-K'!Z323*Vekting!$G$3</f>
        <v>0.78847311354807081</v>
      </c>
      <c r="I322" s="64">
        <f>'Arbeidsark-K'!AA323*Vekting!$H$3</f>
        <v>0.79469099102466323</v>
      </c>
      <c r="J322" s="64">
        <f>'Arbeidsark-K'!AB323*Vekting!$I$3</f>
        <v>9.8604112703398279</v>
      </c>
      <c r="K322" s="64">
        <f>'Arbeidsark-K'!AC323*Vekting!$J$3</f>
        <v>0.11884927246473467</v>
      </c>
      <c r="L322" s="63">
        <f t="shared" ref="L322:L385" si="5">SUM(C322:K322)</f>
        <v>23.817196435584336</v>
      </c>
      <c r="M322" s="65" t="s">
        <v>766</v>
      </c>
    </row>
    <row r="323" spans="1:13" x14ac:dyDescent="0.25">
      <c r="A323" s="66" t="s">
        <v>910</v>
      </c>
      <c r="B323" s="66">
        <v>322</v>
      </c>
      <c r="C323" s="64">
        <f>'Arbeidsark-K'!U324*Vekting!$B$3</f>
        <v>10</v>
      </c>
      <c r="D323" s="64">
        <f>'Arbeidsark-K'!V324*Vekting!$C$3</f>
        <v>0.80161831578026366</v>
      </c>
      <c r="E323" s="64">
        <f>'Arbeidsark-K'!W324*Vekting!$D$3</f>
        <v>0</v>
      </c>
      <c r="F323" s="64">
        <f>'Arbeidsark-K'!X324*Vekting!$E$3</f>
        <v>3.2075712435905164</v>
      </c>
      <c r="G323" s="64">
        <f>'Arbeidsark-K'!Y324*Vekting!$F$3</f>
        <v>1.827124873080251</v>
      </c>
      <c r="H323" s="64">
        <f>'Arbeidsark-K'!Z324*Vekting!$G$3</f>
        <v>0.83745978914218089</v>
      </c>
      <c r="I323" s="64">
        <f>'Arbeidsark-K'!AA324*Vekting!$H$3</f>
        <v>1.4937327503991569</v>
      </c>
      <c r="J323" s="64">
        <f>'Arbeidsark-K'!AB324*Vekting!$I$3</f>
        <v>8.0863652414703893</v>
      </c>
      <c r="K323" s="64">
        <f>'Arbeidsark-K'!AC324*Vekting!$J$3</f>
        <v>8.5527046540042312E-2</v>
      </c>
      <c r="L323" s="63">
        <f t="shared" si="5"/>
        <v>26.339399260002804</v>
      </c>
      <c r="M323" s="65" t="s">
        <v>767</v>
      </c>
    </row>
    <row r="324" spans="1:13" x14ac:dyDescent="0.25">
      <c r="A324" s="66" t="s">
        <v>911</v>
      </c>
      <c r="B324" s="66">
        <v>323</v>
      </c>
      <c r="C324" s="64">
        <f>'Arbeidsark-K'!U325*Vekting!$B$3</f>
        <v>0</v>
      </c>
      <c r="D324" s="64">
        <f>'Arbeidsark-K'!V325*Vekting!$C$3</f>
        <v>0</v>
      </c>
      <c r="E324" s="64">
        <f>'Arbeidsark-K'!W325*Vekting!$D$3</f>
        <v>0</v>
      </c>
      <c r="F324" s="64">
        <f>'Arbeidsark-K'!X325*Vekting!$E$3</f>
        <v>0</v>
      </c>
      <c r="G324" s="64">
        <f>'Arbeidsark-K'!Y325*Vekting!$F$3</f>
        <v>1.0048748945261822E-2</v>
      </c>
      <c r="H324" s="64">
        <f>'Arbeidsark-K'!Z325*Vekting!$G$3</f>
        <v>0.34134183117764283</v>
      </c>
      <c r="I324" s="64">
        <f>'Arbeidsark-K'!AA325*Vekting!$H$3</f>
        <v>0.93968095131654794</v>
      </c>
      <c r="J324" s="64">
        <f>'Arbeidsark-K'!AB325*Vekting!$I$3</f>
        <v>10</v>
      </c>
      <c r="K324" s="64">
        <f>'Arbeidsark-K'!AC325*Vekting!$J$3</f>
        <v>2.0737531933799844</v>
      </c>
      <c r="L324" s="63">
        <f t="shared" si="5"/>
        <v>13.364824724819437</v>
      </c>
      <c r="M324" s="65" t="s">
        <v>768</v>
      </c>
    </row>
    <row r="325" spans="1:13" x14ac:dyDescent="0.25">
      <c r="A325" s="66" t="s">
        <v>912</v>
      </c>
      <c r="B325" s="66">
        <v>324</v>
      </c>
      <c r="C325" s="64">
        <f>'Arbeidsark-K'!U326*Vekting!$B$3</f>
        <v>0</v>
      </c>
      <c r="D325" s="64">
        <f>'Arbeidsark-K'!V326*Vekting!$C$3</f>
        <v>0</v>
      </c>
      <c r="E325" s="64">
        <f>'Arbeidsark-K'!W326*Vekting!$D$3</f>
        <v>0</v>
      </c>
      <c r="F325" s="64">
        <f>'Arbeidsark-K'!X326*Vekting!$E$3</f>
        <v>0</v>
      </c>
      <c r="G325" s="64">
        <f>'Arbeidsark-K'!Y326*Vekting!$F$3</f>
        <v>0</v>
      </c>
      <c r="H325" s="64">
        <f>'Arbeidsark-K'!Z326*Vekting!$G$3</f>
        <v>0</v>
      </c>
      <c r="I325" s="64">
        <f>'Arbeidsark-K'!AA326*Vekting!$H$3</f>
        <v>0</v>
      </c>
      <c r="J325" s="64">
        <f>'Arbeidsark-K'!AB326*Vekting!$I$3</f>
        <v>10</v>
      </c>
      <c r="K325" s="64">
        <f>'Arbeidsark-K'!AC326*Vekting!$J$3</f>
        <v>1.2184827279795627</v>
      </c>
      <c r="L325" s="63">
        <f t="shared" si="5"/>
        <v>11.218482727979563</v>
      </c>
      <c r="M325" s="65" t="s">
        <v>769</v>
      </c>
    </row>
    <row r="326" spans="1:13" x14ac:dyDescent="0.25">
      <c r="A326" s="66" t="s">
        <v>913</v>
      </c>
      <c r="B326" s="66">
        <v>325</v>
      </c>
      <c r="C326" s="64">
        <f>'Arbeidsark-K'!U327*Vekting!$B$3</f>
        <v>0</v>
      </c>
      <c r="D326" s="64">
        <f>'Arbeidsark-K'!V327*Vekting!$C$3</f>
        <v>0</v>
      </c>
      <c r="E326" s="64">
        <f>'Arbeidsark-K'!W327*Vekting!$D$3</f>
        <v>0</v>
      </c>
      <c r="F326" s="64">
        <f>'Arbeidsark-K'!X327*Vekting!$E$3</f>
        <v>0</v>
      </c>
      <c r="G326" s="64">
        <f>'Arbeidsark-K'!Y327*Vekting!$F$3</f>
        <v>0</v>
      </c>
      <c r="H326" s="64">
        <f>'Arbeidsark-K'!Z327*Vekting!$G$3</f>
        <v>0</v>
      </c>
      <c r="I326" s="64">
        <f>'Arbeidsark-K'!AA327*Vekting!$H$3</f>
        <v>0.78583065254662188</v>
      </c>
      <c r="J326" s="64">
        <f>'Arbeidsark-K'!AB327*Vekting!$I$3</f>
        <v>8.8474587835771583</v>
      </c>
      <c r="K326" s="64">
        <f>'Arbeidsark-K'!AC327*Vekting!$J$3</f>
        <v>1.5739198045096074</v>
      </c>
      <c r="L326" s="63">
        <f t="shared" si="5"/>
        <v>11.207209240633388</v>
      </c>
      <c r="M326" s="65" t="s">
        <v>770</v>
      </c>
    </row>
    <row r="327" spans="1:13" x14ac:dyDescent="0.25">
      <c r="A327" s="66" t="s">
        <v>914</v>
      </c>
      <c r="B327" s="66">
        <v>326</v>
      </c>
      <c r="C327" s="64">
        <f>'Arbeidsark-K'!U328*Vekting!$B$3</f>
        <v>10</v>
      </c>
      <c r="D327" s="64">
        <f>'Arbeidsark-K'!V328*Vekting!$C$3</f>
        <v>1.7009818276062878</v>
      </c>
      <c r="E327" s="64">
        <f>'Arbeidsark-K'!W328*Vekting!$D$3</f>
        <v>6.900690864235344E-2</v>
      </c>
      <c r="F327" s="64">
        <f>'Arbeidsark-K'!X328*Vekting!$E$3</f>
        <v>7.5852069394087156</v>
      </c>
      <c r="G327" s="64">
        <f>'Arbeidsark-K'!Y328*Vekting!$F$3</f>
        <v>1.0265147744534624</v>
      </c>
      <c r="H327" s="64">
        <f>'Arbeidsark-K'!Z328*Vekting!$G$3</f>
        <v>1.7318088367310507</v>
      </c>
      <c r="I327" s="64">
        <f>'Arbeidsark-K'!AA328*Vekting!$H$3</f>
        <v>3.797165824166937</v>
      </c>
      <c r="J327" s="64">
        <f>'Arbeidsark-K'!AB328*Vekting!$I$3</f>
        <v>6.3788588521633613</v>
      </c>
      <c r="K327" s="64">
        <f>'Arbeidsark-K'!AC328*Vekting!$J$3</f>
        <v>0</v>
      </c>
      <c r="L327" s="63">
        <f t="shared" si="5"/>
        <v>32.289543963172171</v>
      </c>
      <c r="M327" s="65" t="s">
        <v>771</v>
      </c>
    </row>
    <row r="328" spans="1:13" x14ac:dyDescent="0.25">
      <c r="A328" s="66" t="s">
        <v>915</v>
      </c>
      <c r="B328" s="66">
        <v>327</v>
      </c>
      <c r="C328" s="64">
        <f>'Arbeidsark-K'!U329*Vekting!$B$3</f>
        <v>10</v>
      </c>
      <c r="D328" s="64">
        <f>'Arbeidsark-K'!V329*Vekting!$C$3</f>
        <v>1.5986590328476384</v>
      </c>
      <c r="E328" s="64">
        <f>'Arbeidsark-K'!W329*Vekting!$D$3</f>
        <v>3.2006353779252095E-2</v>
      </c>
      <c r="F328" s="64">
        <f>'Arbeidsark-K'!X329*Vekting!$E$3</f>
        <v>4.5616286456252997</v>
      </c>
      <c r="G328" s="64">
        <f>'Arbeidsark-K'!Y329*Vekting!$F$3</f>
        <v>0.87193064601861048</v>
      </c>
      <c r="H328" s="64">
        <f>'Arbeidsark-K'!Z329*Vekting!$G$3</f>
        <v>0.80692716524124453</v>
      </c>
      <c r="I328" s="64">
        <f>'Arbeidsark-K'!AA329*Vekting!$H$3</f>
        <v>4.7816743696941524</v>
      </c>
      <c r="J328" s="64">
        <f>'Arbeidsark-K'!AB329*Vekting!$I$3</f>
        <v>10</v>
      </c>
      <c r="K328" s="64">
        <f>'Arbeidsark-K'!AC329*Vekting!$J$3</f>
        <v>5.1838276130178826</v>
      </c>
      <c r="L328" s="63">
        <f t="shared" si="5"/>
        <v>37.836653826224079</v>
      </c>
      <c r="M328" s="65" t="s">
        <v>772</v>
      </c>
    </row>
    <row r="329" spans="1:13" x14ac:dyDescent="0.25">
      <c r="A329" s="66" t="s">
        <v>916</v>
      </c>
      <c r="B329" s="66">
        <v>328</v>
      </c>
      <c r="C329" s="64">
        <f>'Arbeidsark-K'!U330*Vekting!$B$3</f>
        <v>10</v>
      </c>
      <c r="D329" s="64">
        <f>'Arbeidsark-K'!V330*Vekting!$C$3</f>
        <v>2.5559157048660563</v>
      </c>
      <c r="E329" s="64">
        <f>'Arbeidsark-K'!W330*Vekting!$D$3</f>
        <v>0.29934052817386175</v>
      </c>
      <c r="F329" s="64">
        <f>'Arbeidsark-K'!X330*Vekting!$E$3</f>
        <v>12.932231417109163</v>
      </c>
      <c r="G329" s="64">
        <f>'Arbeidsark-K'!Y330*Vekting!$F$3</f>
        <v>4.048616662298909</v>
      </c>
      <c r="H329" s="64">
        <f>'Arbeidsark-K'!Z330*Vekting!$G$3</f>
        <v>3.5173244927556713</v>
      </c>
      <c r="I329" s="64">
        <f>'Arbeidsark-K'!AA330*Vekting!$H$3</f>
        <v>9.8028274346488882</v>
      </c>
      <c r="J329" s="64">
        <f>'Arbeidsark-K'!AB330*Vekting!$I$3</f>
        <v>9.3453849392707546</v>
      </c>
      <c r="K329" s="64">
        <f>'Arbeidsark-K'!AC330*Vekting!$J$3</f>
        <v>4.0841941575030551</v>
      </c>
      <c r="L329" s="63">
        <f t="shared" si="5"/>
        <v>56.585835336626367</v>
      </c>
      <c r="M329" s="65" t="s">
        <v>773</v>
      </c>
    </row>
    <row r="330" spans="1:13" x14ac:dyDescent="0.25">
      <c r="A330" s="66" t="s">
        <v>917</v>
      </c>
      <c r="B330" s="66">
        <v>329</v>
      </c>
      <c r="C330" s="64">
        <f>'Arbeidsark-K'!U331*Vekting!$B$3</f>
        <v>10</v>
      </c>
      <c r="D330" s="64">
        <f>'Arbeidsark-K'!V331*Vekting!$C$3</f>
        <v>1.4155550843321605</v>
      </c>
      <c r="E330" s="64">
        <f>'Arbeidsark-K'!W331*Vekting!$D$3</f>
        <v>0</v>
      </c>
      <c r="F330" s="64">
        <f>'Arbeidsark-K'!X331*Vekting!$E$3</f>
        <v>0</v>
      </c>
      <c r="G330" s="64">
        <f>'Arbeidsark-K'!Y331*Vekting!$F$3</f>
        <v>0</v>
      </c>
      <c r="H330" s="64">
        <f>'Arbeidsark-K'!Z331*Vekting!$G$3</f>
        <v>0</v>
      </c>
      <c r="I330" s="64">
        <f>'Arbeidsark-K'!AA331*Vekting!$H$3</f>
        <v>2.9790849761400935</v>
      </c>
      <c r="J330" s="64">
        <f>'Arbeidsark-K'!AB331*Vekting!$I$3</f>
        <v>3.8820730142686344</v>
      </c>
      <c r="K330" s="64">
        <f>'Arbeidsark-K'!AC331*Vekting!$J$3</f>
        <v>0</v>
      </c>
      <c r="L330" s="63">
        <f t="shared" si="5"/>
        <v>18.27671307474089</v>
      </c>
      <c r="M330" s="65" t="s">
        <v>774</v>
      </c>
    </row>
    <row r="331" spans="1:13" x14ac:dyDescent="0.25">
      <c r="A331" s="66" t="s">
        <v>918</v>
      </c>
      <c r="B331" s="66">
        <v>330</v>
      </c>
      <c r="C331" s="64">
        <f>'Arbeidsark-K'!U332*Vekting!$B$3</f>
        <v>0</v>
      </c>
      <c r="D331" s="64">
        <f>'Arbeidsark-K'!V332*Vekting!$C$3</f>
        <v>0.91740463616505119</v>
      </c>
      <c r="E331" s="64">
        <f>'Arbeidsark-K'!W332*Vekting!$D$3</f>
        <v>8.4278150863882226E-2</v>
      </c>
      <c r="F331" s="64">
        <f>'Arbeidsark-K'!X332*Vekting!$E$3</f>
        <v>0</v>
      </c>
      <c r="G331" s="64">
        <f>'Arbeidsark-K'!Y332*Vekting!$F$3</f>
        <v>0</v>
      </c>
      <c r="H331" s="64">
        <f>'Arbeidsark-K'!Z332*Vekting!$G$3</f>
        <v>1.143171482018196</v>
      </c>
      <c r="I331" s="64">
        <f>'Arbeidsark-K'!AA332*Vekting!$H$3</f>
        <v>10</v>
      </c>
      <c r="J331" s="64">
        <f>'Arbeidsark-K'!AB332*Vekting!$I$3</f>
        <v>10</v>
      </c>
      <c r="K331" s="64">
        <f>'Arbeidsark-K'!AC332*Vekting!$J$3</f>
        <v>1.9071420637565255</v>
      </c>
      <c r="L331" s="63">
        <f t="shared" si="5"/>
        <v>24.051996332803654</v>
      </c>
      <c r="M331" s="65" t="s">
        <v>775</v>
      </c>
    </row>
    <row r="332" spans="1:13" x14ac:dyDescent="0.25">
      <c r="A332" s="66" t="s">
        <v>919</v>
      </c>
      <c r="B332" s="66">
        <v>331</v>
      </c>
      <c r="C332" s="64">
        <f>'Arbeidsark-K'!U333*Vekting!$B$3</f>
        <v>4</v>
      </c>
      <c r="D332" s="64">
        <f>'Arbeidsark-K'!V333*Vekting!$C$3</f>
        <v>1.5461512829056998</v>
      </c>
      <c r="E332" s="64">
        <f>'Arbeidsark-K'!W333*Vekting!$D$3</f>
        <v>0.94039405091310191</v>
      </c>
      <c r="F332" s="64">
        <f>'Arbeidsark-K'!X333*Vekting!$E$3</f>
        <v>13.25106347823529</v>
      </c>
      <c r="G332" s="64">
        <f>'Arbeidsark-K'!Y333*Vekting!$F$3</f>
        <v>4.4464518705734069</v>
      </c>
      <c r="H332" s="64">
        <f>'Arbeidsark-K'!Z333*Vekting!$G$3</f>
        <v>3.9594093443148815</v>
      </c>
      <c r="I332" s="64">
        <f>'Arbeidsark-K'!AA333*Vekting!$H$3</f>
        <v>8.5443078748481938</v>
      </c>
      <c r="J332" s="64">
        <f>'Arbeidsark-K'!AB333*Vekting!$I$3</f>
        <v>6.5985546404196187</v>
      </c>
      <c r="K332" s="64">
        <f>'Arbeidsark-K'!AC333*Vekting!$J$3</f>
        <v>5.9835610352104851</v>
      </c>
      <c r="L332" s="63">
        <f t="shared" si="5"/>
        <v>49.269893577420675</v>
      </c>
      <c r="M332" s="65" t="s">
        <v>776</v>
      </c>
    </row>
    <row r="333" spans="1:13" x14ac:dyDescent="0.25">
      <c r="A333" s="66" t="s">
        <v>920</v>
      </c>
      <c r="B333" s="66">
        <v>332</v>
      </c>
      <c r="C333" s="64">
        <f>'Arbeidsark-K'!U334*Vekting!$B$3</f>
        <v>4</v>
      </c>
      <c r="D333" s="64">
        <f>'Arbeidsark-K'!V334*Vekting!$C$3</f>
        <v>0.96856603354437587</v>
      </c>
      <c r="E333" s="64">
        <f>'Arbeidsark-K'!W334*Vekting!$D$3</f>
        <v>0.26588723403604603</v>
      </c>
      <c r="F333" s="64">
        <f>'Arbeidsark-K'!X334*Vekting!$E$3</f>
        <v>5.8016320177304923</v>
      </c>
      <c r="G333" s="64">
        <f>'Arbeidsark-K'!Y334*Vekting!$F$3</f>
        <v>2.1593074522641249</v>
      </c>
      <c r="H333" s="64">
        <f>'Arbeidsark-K'!Z334*Vekting!$G$3</f>
        <v>2.2665774711745672</v>
      </c>
      <c r="I333" s="64">
        <f>'Arbeidsark-K'!AA334*Vekting!$H$3</f>
        <v>5.4294143973631144</v>
      </c>
      <c r="J333" s="64">
        <f>'Arbeidsark-K'!AB334*Vekting!$I$3</f>
        <v>4.6305467723450349</v>
      </c>
      <c r="K333" s="64">
        <f>'Arbeidsark-K'!AC334*Vekting!$J$3</f>
        <v>2.2292569143618794</v>
      </c>
      <c r="L333" s="63">
        <f t="shared" si="5"/>
        <v>27.751188292819638</v>
      </c>
      <c r="M333" s="65" t="s">
        <v>777</v>
      </c>
    </row>
    <row r="334" spans="1:13" x14ac:dyDescent="0.25">
      <c r="A334" s="66" t="s">
        <v>921</v>
      </c>
      <c r="B334" s="66">
        <v>333</v>
      </c>
      <c r="C334" s="64">
        <f>'Arbeidsark-K'!U335*Vekting!$B$3</f>
        <v>0</v>
      </c>
      <c r="D334" s="64">
        <f>'Arbeidsark-K'!V335*Vekting!$C$3</f>
        <v>0</v>
      </c>
      <c r="E334" s="64">
        <f>'Arbeidsark-K'!W335*Vekting!$D$3</f>
        <v>0.30279413823260626</v>
      </c>
      <c r="F334" s="64">
        <f>'Arbeidsark-K'!X335*Vekting!$E$3</f>
        <v>4.8455130930773809</v>
      </c>
      <c r="G334" s="64">
        <f>'Arbeidsark-K'!Y335*Vekting!$F$3</f>
        <v>0</v>
      </c>
      <c r="H334" s="64">
        <f>'Arbeidsark-K'!Z335*Vekting!$G$3</f>
        <v>0</v>
      </c>
      <c r="I334" s="64">
        <f>'Arbeidsark-K'!AA335*Vekting!$H$3</f>
        <v>1.2473137025481862</v>
      </c>
      <c r="J334" s="64">
        <f>'Arbeidsark-K'!AB335*Vekting!$I$3</f>
        <v>7.2944644767798081</v>
      </c>
      <c r="K334" s="64">
        <f>'Arbeidsark-K'!AC335*Vekting!$J$3</f>
        <v>0.56314561812729103</v>
      </c>
      <c r="L334" s="63">
        <f t="shared" si="5"/>
        <v>14.253231028765271</v>
      </c>
      <c r="M334" s="65" t="s">
        <v>778</v>
      </c>
    </row>
    <row r="335" spans="1:13" x14ac:dyDescent="0.25">
      <c r="A335" s="66" t="s">
        <v>922</v>
      </c>
      <c r="B335" s="66">
        <v>334</v>
      </c>
      <c r="C335" s="64">
        <f>'Arbeidsark-K'!U336*Vekting!$B$3</f>
        <v>10</v>
      </c>
      <c r="D335" s="64">
        <f>'Arbeidsark-K'!V336*Vekting!$C$3</f>
        <v>3.0311781594687308</v>
      </c>
      <c r="E335" s="64">
        <f>'Arbeidsark-K'!W336*Vekting!$D$3</f>
        <v>1.2931473297080502</v>
      </c>
      <c r="F335" s="64">
        <f>'Arbeidsark-K'!X336*Vekting!$E$3</f>
        <v>4.7738206473844915</v>
      </c>
      <c r="G335" s="64">
        <f>'Arbeidsark-K'!Y336*Vekting!$F$3</f>
        <v>1.9142915486189809</v>
      </c>
      <c r="H335" s="64">
        <f>'Arbeidsark-K'!Z336*Vekting!$G$3</f>
        <v>2.7172876345431698</v>
      </c>
      <c r="I335" s="64">
        <f>'Arbeidsark-K'!AA336*Vekting!$H$3</f>
        <v>4.1034043478420754</v>
      </c>
      <c r="J335" s="64">
        <f>'Arbeidsark-K'!AB336*Vekting!$I$3</f>
        <v>6.195043518057477</v>
      </c>
      <c r="K335" s="64">
        <f>'Arbeidsark-K'!AC336*Vekting!$J$3</f>
        <v>3.5288237254248589</v>
      </c>
      <c r="L335" s="63">
        <f t="shared" si="5"/>
        <v>37.556996911047833</v>
      </c>
      <c r="M335" s="65" t="s">
        <v>779</v>
      </c>
    </row>
    <row r="336" spans="1:13" x14ac:dyDescent="0.25">
      <c r="A336" s="66" t="s">
        <v>923</v>
      </c>
      <c r="B336" s="66">
        <v>335</v>
      </c>
      <c r="C336" s="64">
        <f>'Arbeidsark-K'!U337*Vekting!$B$3</f>
        <v>18</v>
      </c>
      <c r="D336" s="64">
        <f>'Arbeidsark-K'!V337*Vekting!$C$3</f>
        <v>1.797919212114482</v>
      </c>
      <c r="E336" s="64">
        <f>'Arbeidsark-K'!W337*Vekting!$D$3</f>
        <v>0.62357269194174458</v>
      </c>
      <c r="F336" s="64">
        <f>'Arbeidsark-K'!X337*Vekting!$E$3</f>
        <v>6.954382139260062</v>
      </c>
      <c r="G336" s="64">
        <f>'Arbeidsark-K'!Y337*Vekting!$F$3</f>
        <v>1.3473296298882973</v>
      </c>
      <c r="H336" s="64">
        <f>'Arbeidsark-K'!Z337*Vekting!$G$3</f>
        <v>1.8482325624557576</v>
      </c>
      <c r="I336" s="64">
        <f>'Arbeidsark-K'!AA337*Vekting!$H$3</f>
        <v>2.9408502951465594</v>
      </c>
      <c r="J336" s="64">
        <f>'Arbeidsark-K'!AB337*Vekting!$I$3</f>
        <v>5.8787184541216879</v>
      </c>
      <c r="K336" s="64">
        <f>'Arbeidsark-K'!AC337*Vekting!$J$3</f>
        <v>1.265026157768331</v>
      </c>
      <c r="L336" s="63">
        <f t="shared" si="5"/>
        <v>40.656031142696925</v>
      </c>
      <c r="M336" s="65" t="s">
        <v>780</v>
      </c>
    </row>
    <row r="337" spans="1:13" x14ac:dyDescent="0.25">
      <c r="A337" s="66" t="s">
        <v>285</v>
      </c>
      <c r="B337" s="66">
        <v>336</v>
      </c>
      <c r="C337" s="64">
        <f>'Arbeidsark-K'!U338*Vekting!$B$3</f>
        <v>14</v>
      </c>
      <c r="D337" s="64">
        <f>'Arbeidsark-K'!V338*Vekting!$C$3</f>
        <v>4.2590516965725236</v>
      </c>
      <c r="E337" s="64">
        <f>'Arbeidsark-K'!W338*Vekting!$D$3</f>
        <v>2.632578886560164</v>
      </c>
      <c r="F337" s="64">
        <f>'Arbeidsark-K'!X338*Vekting!$E$3</f>
        <v>14.994740961083076</v>
      </c>
      <c r="G337" s="64">
        <f>'Arbeidsark-K'!Y338*Vekting!$F$3</f>
        <v>5</v>
      </c>
      <c r="H337" s="64">
        <f>'Arbeidsark-K'!Z338*Vekting!$G$3</f>
        <v>4.9684993753648214</v>
      </c>
      <c r="I337" s="64">
        <f>'Arbeidsark-K'!AA338*Vekting!$H$3</f>
        <v>6.6155259580399024</v>
      </c>
      <c r="J337" s="64">
        <f>'Arbeidsark-K'!AB338*Vekting!$I$3</f>
        <v>4.9479567263457707</v>
      </c>
      <c r="K337" s="64">
        <f>'Arbeidsark-K'!AC338*Vekting!$J$3</f>
        <v>8.3938687104298566</v>
      </c>
      <c r="L337" s="63">
        <f t="shared" si="5"/>
        <v>65.812222314396109</v>
      </c>
      <c r="M337" s="65" t="s">
        <v>781</v>
      </c>
    </row>
    <row r="338" spans="1:13" x14ac:dyDescent="0.25">
      <c r="A338" s="66" t="s">
        <v>286</v>
      </c>
      <c r="B338" s="66">
        <v>337</v>
      </c>
      <c r="C338" s="64">
        <f>'Arbeidsark-K'!U339*Vekting!$B$3</f>
        <v>12</v>
      </c>
      <c r="D338" s="64">
        <f>'Arbeidsark-K'!V339*Vekting!$C$3</f>
        <v>1.1812897384373577</v>
      </c>
      <c r="E338" s="64">
        <f>'Arbeidsark-K'!W339*Vekting!$D$3</f>
        <v>0.59816748595496994</v>
      </c>
      <c r="F338" s="64">
        <f>'Arbeidsark-K'!X339*Vekting!$E$3</f>
        <v>6.8397216028938974</v>
      </c>
      <c r="G338" s="64">
        <f>'Arbeidsark-K'!Y339*Vekting!$F$3</f>
        <v>4.0242144273404916</v>
      </c>
      <c r="H338" s="64">
        <f>'Arbeidsark-K'!Z339*Vekting!$G$3</f>
        <v>2.9391755782083426</v>
      </c>
      <c r="I338" s="64">
        <f>'Arbeidsark-K'!AA339*Vekting!$H$3</f>
        <v>5.3499516901760504</v>
      </c>
      <c r="J338" s="64">
        <f>'Arbeidsark-K'!AB339*Vekting!$I$3</f>
        <v>0.82340572642941512</v>
      </c>
      <c r="K338" s="64">
        <f>'Arbeidsark-K'!AC339*Vekting!$J$3</f>
        <v>4.4396312340330999</v>
      </c>
      <c r="L338" s="63">
        <f t="shared" si="5"/>
        <v>38.195557483473628</v>
      </c>
      <c r="M338" s="65" t="s">
        <v>782</v>
      </c>
    </row>
    <row r="339" spans="1:13" x14ac:dyDescent="0.25">
      <c r="A339" s="66" t="s">
        <v>287</v>
      </c>
      <c r="B339" s="66">
        <v>338</v>
      </c>
      <c r="C339" s="64">
        <f>'Arbeidsark-K'!U340*Vekting!$B$3</f>
        <v>0</v>
      </c>
      <c r="D339" s="64">
        <f>'Arbeidsark-K'!V340*Vekting!$C$3</f>
        <v>0</v>
      </c>
      <c r="E339" s="64">
        <f>'Arbeidsark-K'!W340*Vekting!$D$3</f>
        <v>0</v>
      </c>
      <c r="F339" s="64">
        <f>'Arbeidsark-K'!X340*Vekting!$E$3</f>
        <v>0</v>
      </c>
      <c r="G339" s="64">
        <f>'Arbeidsark-K'!Y340*Vekting!$F$3</f>
        <v>0</v>
      </c>
      <c r="H339" s="64">
        <f>'Arbeidsark-K'!Z340*Vekting!$G$3</f>
        <v>0</v>
      </c>
      <c r="I339" s="64">
        <f>'Arbeidsark-K'!AA340*Vekting!$H$3</f>
        <v>0</v>
      </c>
      <c r="J339" s="64">
        <f>'Arbeidsark-K'!AB340*Vekting!$I$3</f>
        <v>4.3659609268190911</v>
      </c>
      <c r="K339" s="64">
        <f>'Arbeidsark-K'!AC340*Vekting!$J$3</f>
        <v>0</v>
      </c>
      <c r="L339" s="63">
        <f t="shared" si="5"/>
        <v>4.3659609268190911</v>
      </c>
      <c r="M339" s="65" t="s">
        <v>783</v>
      </c>
    </row>
    <row r="340" spans="1:13" x14ac:dyDescent="0.25">
      <c r="A340" s="66" t="s">
        <v>288</v>
      </c>
      <c r="B340" s="66">
        <v>339</v>
      </c>
      <c r="C340" s="64">
        <f>'Arbeidsark-K'!U341*Vekting!$B$3</f>
        <v>8</v>
      </c>
      <c r="D340" s="64">
        <f>'Arbeidsark-K'!V341*Vekting!$C$3</f>
        <v>2.2395228526518114</v>
      </c>
      <c r="E340" s="64">
        <f>'Arbeidsark-K'!W341*Vekting!$D$3</f>
        <v>0.68851467739243055</v>
      </c>
      <c r="F340" s="64">
        <f>'Arbeidsark-K'!X341*Vekting!$E$3</f>
        <v>4.6977344292310308</v>
      </c>
      <c r="G340" s="64">
        <f>'Arbeidsark-K'!Y341*Vekting!$F$3</f>
        <v>1.1574567412577601</v>
      </c>
      <c r="H340" s="64">
        <f>'Arbeidsark-K'!Z341*Vekting!$G$3</f>
        <v>1.5951654370432948</v>
      </c>
      <c r="I340" s="64">
        <f>'Arbeidsark-K'!AA341*Vekting!$H$3</f>
        <v>1.8166858894047522</v>
      </c>
      <c r="J340" s="64">
        <f>'Arbeidsark-K'!AB341*Vekting!$I$3</f>
        <v>5.3680918776864317</v>
      </c>
      <c r="K340" s="64">
        <f>'Arbeidsark-K'!AC341*Vekting!$J$3</f>
        <v>1.0296567810729755</v>
      </c>
      <c r="L340" s="63">
        <f t="shared" si="5"/>
        <v>26.592828685740489</v>
      </c>
      <c r="M340" s="65" t="s">
        <v>784</v>
      </c>
    </row>
    <row r="341" spans="1:13" x14ac:dyDescent="0.25">
      <c r="A341" s="66" t="s">
        <v>289</v>
      </c>
      <c r="B341" s="66">
        <v>340</v>
      </c>
      <c r="C341" s="64">
        <f>'Arbeidsark-K'!U342*Vekting!$B$3</f>
        <v>8</v>
      </c>
      <c r="D341" s="64">
        <f>'Arbeidsark-K'!V342*Vekting!$C$3</f>
        <v>3.6774273895233587</v>
      </c>
      <c r="E341" s="64">
        <f>'Arbeidsark-K'!W342*Vekting!$D$3</f>
        <v>0.47382652349994603</v>
      </c>
      <c r="F341" s="64">
        <f>'Arbeidsark-K'!X342*Vekting!$E$3</f>
        <v>9.3547593493621779</v>
      </c>
      <c r="G341" s="64">
        <f>'Arbeidsark-K'!Y342*Vekting!$F$3</f>
        <v>3.2970250576784568</v>
      </c>
      <c r="H341" s="64">
        <f>'Arbeidsark-K'!Z342*Vekting!$G$3</f>
        <v>3.832911109687906</v>
      </c>
      <c r="I341" s="64">
        <f>'Arbeidsark-K'!AA342*Vekting!$H$3</f>
        <v>5.1486462023713351</v>
      </c>
      <c r="J341" s="64">
        <f>'Arbeidsark-K'!AB342*Vekting!$I$3</f>
        <v>3.2168840897857693</v>
      </c>
      <c r="K341" s="64">
        <f>'Arbeidsark-K'!AC342*Vekting!$J$3</f>
        <v>4.5173830945240478</v>
      </c>
      <c r="L341" s="63">
        <f t="shared" si="5"/>
        <v>41.518862816433007</v>
      </c>
      <c r="M341" s="65" t="s">
        <v>785</v>
      </c>
    </row>
    <row r="342" spans="1:13" x14ac:dyDescent="0.25">
      <c r="A342" s="66" t="s">
        <v>290</v>
      </c>
      <c r="B342" s="66">
        <v>341</v>
      </c>
      <c r="C342" s="64">
        <f>'Arbeidsark-K'!U343*Vekting!$B$3</f>
        <v>4</v>
      </c>
      <c r="D342" s="64">
        <f>'Arbeidsark-K'!V343*Vekting!$C$3</f>
        <v>9.0744162720172661E-2</v>
      </c>
      <c r="E342" s="64">
        <f>'Arbeidsark-K'!W343*Vekting!$D$3</f>
        <v>0.46528517584687423</v>
      </c>
      <c r="F342" s="64">
        <f>'Arbeidsark-K'!X343*Vekting!$E$3</f>
        <v>0.38667017483710425</v>
      </c>
      <c r="G342" s="64">
        <f>'Arbeidsark-K'!Y343*Vekting!$F$3</f>
        <v>0</v>
      </c>
      <c r="H342" s="64">
        <f>'Arbeidsark-K'!Z343*Vekting!$G$3</f>
        <v>0</v>
      </c>
      <c r="I342" s="64">
        <f>'Arbeidsark-K'!AA343*Vekting!$H$3</f>
        <v>0.37381326519537056</v>
      </c>
      <c r="J342" s="64">
        <f>'Arbeidsark-K'!AB343*Vekting!$I$3</f>
        <v>4.3768964897974678</v>
      </c>
      <c r="K342" s="64">
        <f>'Arbeidsark-K'!AC343*Vekting!$J$3</f>
        <v>0.18549372431411798</v>
      </c>
      <c r="L342" s="63">
        <f t="shared" si="5"/>
        <v>9.8789029927111081</v>
      </c>
      <c r="M342" s="65" t="s">
        <v>786</v>
      </c>
    </row>
    <row r="343" spans="1:13" x14ac:dyDescent="0.25">
      <c r="A343" s="66" t="s">
        <v>291</v>
      </c>
      <c r="B343" s="66">
        <v>342</v>
      </c>
      <c r="C343" s="64">
        <f>'Arbeidsark-K'!U344*Vekting!$B$3</f>
        <v>8</v>
      </c>
      <c r="D343" s="64">
        <f>'Arbeidsark-K'!V344*Vekting!$C$3</f>
        <v>1.4613310714610299</v>
      </c>
      <c r="E343" s="64">
        <f>'Arbeidsark-K'!W344*Vekting!$D$3</f>
        <v>0</v>
      </c>
      <c r="F343" s="64">
        <f>'Arbeidsark-K'!X344*Vekting!$E$3</f>
        <v>8.8003516207751513</v>
      </c>
      <c r="G343" s="64">
        <f>'Arbeidsark-K'!Y344*Vekting!$F$3</f>
        <v>0</v>
      </c>
      <c r="H343" s="64">
        <f>'Arbeidsark-K'!Z344*Vekting!$G$3</f>
        <v>1.0991288973287128</v>
      </c>
      <c r="I343" s="64">
        <f>'Arbeidsark-K'!AA344*Vekting!$H$3</f>
        <v>4.6667598976275606</v>
      </c>
      <c r="J343" s="64">
        <f>'Arbeidsark-K'!AB344*Vekting!$I$3</f>
        <v>3.50969458694223</v>
      </c>
      <c r="K343" s="64">
        <f>'Arbeidsark-K'!AC344*Vekting!$J$3</f>
        <v>0.18549372431411798</v>
      </c>
      <c r="L343" s="63">
        <f t="shared" si="5"/>
        <v>27.722759798448802</v>
      </c>
      <c r="M343" s="65" t="s">
        <v>787</v>
      </c>
    </row>
    <row r="344" spans="1:13" x14ac:dyDescent="0.25">
      <c r="A344" s="66" t="s">
        <v>292</v>
      </c>
      <c r="B344" s="66">
        <v>343</v>
      </c>
      <c r="C344" s="64">
        <f>'Arbeidsark-K'!U345*Vekting!$B$3</f>
        <v>4</v>
      </c>
      <c r="D344" s="64">
        <f>'Arbeidsark-K'!V345*Vekting!$C$3</f>
        <v>1.5340341098421755</v>
      </c>
      <c r="E344" s="64">
        <f>'Arbeidsark-K'!W345*Vekting!$D$3</f>
        <v>1.9764417530461729</v>
      </c>
      <c r="F344" s="64">
        <f>'Arbeidsark-K'!X345*Vekting!$E$3</f>
        <v>10.127238512689527</v>
      </c>
      <c r="G344" s="64">
        <f>'Arbeidsark-K'!Y345*Vekting!$F$3</f>
        <v>2.6020766114935663</v>
      </c>
      <c r="H344" s="64">
        <f>'Arbeidsark-K'!Z345*Vekting!$G$3</f>
        <v>2.1047752516915099</v>
      </c>
      <c r="I344" s="64">
        <f>'Arbeidsark-K'!AA345*Vekting!$H$3</f>
        <v>4.1588404381878172</v>
      </c>
      <c r="J344" s="64">
        <f>'Arbeidsark-K'!AB345*Vekting!$I$3</f>
        <v>1.9560198799040054E-2</v>
      </c>
      <c r="K344" s="64">
        <f>'Arbeidsark-K'!AC345*Vekting!$J$3</f>
        <v>2.2625791402865718</v>
      </c>
      <c r="L344" s="63">
        <f t="shared" si="5"/>
        <v>28.785546016036381</v>
      </c>
      <c r="M344" s="65" t="s">
        <v>788</v>
      </c>
    </row>
    <row r="345" spans="1:13" x14ac:dyDescent="0.25">
      <c r="A345" s="66" t="s">
        <v>293</v>
      </c>
      <c r="B345" s="66">
        <v>344</v>
      </c>
      <c r="C345" s="64">
        <f>'Arbeidsark-K'!U346*Vekting!$B$3</f>
        <v>8</v>
      </c>
      <c r="D345" s="64">
        <f>'Arbeidsark-K'!V346*Vekting!$C$3</f>
        <v>3.1375400119152217</v>
      </c>
      <c r="E345" s="64">
        <f>'Arbeidsark-K'!W346*Vekting!$D$3</f>
        <v>2.8580489329876899</v>
      </c>
      <c r="F345" s="64">
        <f>'Arbeidsark-K'!X346*Vekting!$E$3</f>
        <v>7.1184205313144249</v>
      </c>
      <c r="G345" s="64">
        <f>'Arbeidsark-K'!Y346*Vekting!$F$3</f>
        <v>3.610966360026072</v>
      </c>
      <c r="H345" s="64">
        <f>'Arbeidsark-K'!Z346*Vekting!$G$3</f>
        <v>2.9744698135134762</v>
      </c>
      <c r="I345" s="64">
        <f>'Arbeidsark-K'!AA346*Vekting!$H$3</f>
        <v>7.0947487406372645</v>
      </c>
      <c r="J345" s="64">
        <f>'Arbeidsark-K'!AB346*Vekting!$I$3</f>
        <v>4.0435364203826465</v>
      </c>
      <c r="K345" s="64">
        <f>'Arbeidsark-K'!AC346*Vekting!$J$3</f>
        <v>3.7065422636898813</v>
      </c>
      <c r="L345" s="63">
        <f t="shared" si="5"/>
        <v>42.54427307446668</v>
      </c>
      <c r="M345" s="65" t="s">
        <v>789</v>
      </c>
    </row>
    <row r="346" spans="1:13" x14ac:dyDescent="0.25">
      <c r="A346" s="66" t="s">
        <v>294</v>
      </c>
      <c r="B346" s="66">
        <v>345</v>
      </c>
      <c r="C346" s="64">
        <f>'Arbeidsark-K'!U347*Vekting!$B$3</f>
        <v>8</v>
      </c>
      <c r="D346" s="64">
        <f>'Arbeidsark-K'!V347*Vekting!$C$3</f>
        <v>2.5828427561183327</v>
      </c>
      <c r="E346" s="64">
        <f>'Arbeidsark-K'!W347*Vekting!$D$3</f>
        <v>0.27212347994959601</v>
      </c>
      <c r="F346" s="64">
        <f>'Arbeidsark-K'!X347*Vekting!$E$3</f>
        <v>10.98789879968608</v>
      </c>
      <c r="G346" s="64">
        <f>'Arbeidsark-K'!Y347*Vekting!$F$3</f>
        <v>3.8941094598273773</v>
      </c>
      <c r="H346" s="64">
        <f>'Arbeidsark-K'!Z347*Vekting!$G$3</f>
        <v>3.387040512349873</v>
      </c>
      <c r="I346" s="64">
        <f>'Arbeidsark-K'!AA347*Vekting!$H$3</f>
        <v>0</v>
      </c>
      <c r="J346" s="64">
        <f>'Arbeidsark-K'!AB347*Vekting!$I$3</f>
        <v>0.65517657227059234</v>
      </c>
      <c r="K346" s="64">
        <f>'Arbeidsark-K'!AC347*Vekting!$J$3</f>
        <v>0.1410640897478615</v>
      </c>
      <c r="L346" s="63">
        <f t="shared" si="5"/>
        <v>29.920255669949711</v>
      </c>
      <c r="M346" s="65" t="s">
        <v>790</v>
      </c>
    </row>
    <row r="347" spans="1:13" x14ac:dyDescent="0.25">
      <c r="A347" s="66" t="s">
        <v>295</v>
      </c>
      <c r="B347" s="66">
        <v>346</v>
      </c>
      <c r="C347" s="64">
        <f>'Arbeidsark-K'!U348*Vekting!$B$3</f>
        <v>10</v>
      </c>
      <c r="D347" s="64">
        <f>'Arbeidsark-K'!V348*Vekting!$C$3</f>
        <v>3.4714354474434459</v>
      </c>
      <c r="E347" s="64">
        <f>'Arbeidsark-K'!W348*Vekting!$D$3</f>
        <v>0.42739534372317256</v>
      </c>
      <c r="F347" s="64">
        <f>'Arbeidsark-K'!X348*Vekting!$E$3</f>
        <v>4.0247975882924747</v>
      </c>
      <c r="G347" s="64">
        <f>'Arbeidsark-K'!Y348*Vekting!$F$3</f>
        <v>3.2098893910354094</v>
      </c>
      <c r="H347" s="64">
        <f>'Arbeidsark-K'!Z348*Vekting!$G$3</f>
        <v>2.1713433963425484</v>
      </c>
      <c r="I347" s="64">
        <f>'Arbeidsark-K'!AA348*Vekting!$H$3</f>
        <v>4.8796048559039775</v>
      </c>
      <c r="J347" s="64">
        <f>'Arbeidsark-K'!AB348*Vekting!$I$3</f>
        <v>4.8780037789067077</v>
      </c>
      <c r="K347" s="64">
        <f>'Arbeidsark-K'!AC348*Vekting!$J$3</f>
        <v>3.9509052538042875</v>
      </c>
      <c r="L347" s="63">
        <f t="shared" si="5"/>
        <v>37.013375055452023</v>
      </c>
      <c r="M347" s="65" t="s">
        <v>791</v>
      </c>
    </row>
    <row r="348" spans="1:13" x14ac:dyDescent="0.25">
      <c r="A348" s="66" t="s">
        <v>296</v>
      </c>
      <c r="B348" s="66">
        <v>347</v>
      </c>
      <c r="C348" s="64">
        <f>'Arbeidsark-K'!U349*Vekting!$B$3</f>
        <v>10</v>
      </c>
      <c r="D348" s="64">
        <f>'Arbeidsark-K'!V349*Vekting!$C$3</f>
        <v>2.4158950383542201</v>
      </c>
      <c r="E348" s="64">
        <f>'Arbeidsark-K'!W349*Vekting!$D$3</f>
        <v>0</v>
      </c>
      <c r="F348" s="64">
        <f>'Arbeidsark-K'!X349*Vekting!$E$3</f>
        <v>0.7256550574178704</v>
      </c>
      <c r="G348" s="64">
        <f>'Arbeidsark-K'!Y349*Vekting!$F$3</f>
        <v>0.35172585587640698</v>
      </c>
      <c r="H348" s="64">
        <f>'Arbeidsark-K'!Z349*Vekting!$G$3</f>
        <v>0.31697257686538477</v>
      </c>
      <c r="I348" s="64">
        <f>'Arbeidsark-K'!AA349*Vekting!$H$3</f>
        <v>2.9153894726111194</v>
      </c>
      <c r="J348" s="64">
        <f>'Arbeidsark-K'!AB349*Vekting!$I$3</f>
        <v>7.0805522354778736</v>
      </c>
      <c r="K348" s="64">
        <f>'Arbeidsark-K'!AC349*Vekting!$J$3</f>
        <v>1.0518715983561038</v>
      </c>
      <c r="L348" s="63">
        <f t="shared" si="5"/>
        <v>24.858061834958981</v>
      </c>
      <c r="M348" s="65" t="s">
        <v>706</v>
      </c>
    </row>
    <row r="349" spans="1:13" x14ac:dyDescent="0.25">
      <c r="A349" s="66" t="s">
        <v>297</v>
      </c>
      <c r="B349" s="66">
        <v>348</v>
      </c>
      <c r="C349" s="64">
        <f>'Arbeidsark-K'!U350*Vekting!$B$3</f>
        <v>0</v>
      </c>
      <c r="D349" s="64">
        <f>'Arbeidsark-K'!V350*Vekting!$C$3</f>
        <v>1.3024614690726004</v>
      </c>
      <c r="E349" s="64">
        <f>'Arbeidsark-K'!W350*Vekting!$D$3</f>
        <v>0</v>
      </c>
      <c r="F349" s="64">
        <f>'Arbeidsark-K'!X350*Vekting!$E$3</f>
        <v>0.74460531349216985</v>
      </c>
      <c r="G349" s="64">
        <f>'Arbeidsark-K'!Y350*Vekting!$F$3</f>
        <v>0</v>
      </c>
      <c r="H349" s="64">
        <f>'Arbeidsark-K'!Z350*Vekting!$G$3</f>
        <v>0</v>
      </c>
      <c r="I349" s="64">
        <f>'Arbeidsark-K'!AA350*Vekting!$H$3</f>
        <v>0.70329498194498408</v>
      </c>
      <c r="J349" s="64">
        <f>'Arbeidsark-K'!AB350*Vekting!$I$3</f>
        <v>10</v>
      </c>
      <c r="K349" s="64">
        <f>'Arbeidsark-K'!AC350*Vekting!$J$3</f>
        <v>0</v>
      </c>
      <c r="L349" s="63">
        <f t="shared" si="5"/>
        <v>12.750361764509755</v>
      </c>
      <c r="M349" s="65" t="s">
        <v>792</v>
      </c>
    </row>
    <row r="350" spans="1:13" x14ac:dyDescent="0.25">
      <c r="A350" s="66" t="s">
        <v>298</v>
      </c>
      <c r="B350" s="66">
        <v>349</v>
      </c>
      <c r="C350" s="64">
        <f>'Arbeidsark-K'!U351*Vekting!$B$3</f>
        <v>8</v>
      </c>
      <c r="D350" s="64">
        <f>'Arbeidsark-K'!V351*Vekting!$C$3</f>
        <v>1.1274356359328053</v>
      </c>
      <c r="E350" s="64">
        <f>'Arbeidsark-K'!W351*Vekting!$D$3</f>
        <v>0.45468149868543151</v>
      </c>
      <c r="F350" s="64">
        <f>'Arbeidsark-K'!X351*Vekting!$E$3</f>
        <v>0.12671903583164976</v>
      </c>
      <c r="G350" s="64">
        <f>'Arbeidsark-K'!Y351*Vekting!$F$3</f>
        <v>0</v>
      </c>
      <c r="H350" s="64">
        <f>'Arbeidsark-K'!Z351*Vekting!$G$3</f>
        <v>1.1656294120291673</v>
      </c>
      <c r="I350" s="64">
        <f>'Arbeidsark-K'!AA351*Vekting!$H$3</f>
        <v>1.097148304740027</v>
      </c>
      <c r="J350" s="64">
        <f>'Arbeidsark-K'!AB351*Vekting!$I$3</f>
        <v>3.9188530339028582</v>
      </c>
      <c r="K350" s="64">
        <f>'Arbeidsark-K'!AC351*Vekting!$J$3</f>
        <v>2.3070087748528265</v>
      </c>
      <c r="L350" s="63">
        <f t="shared" si="5"/>
        <v>18.197475695974767</v>
      </c>
      <c r="M350" s="65" t="s">
        <v>793</v>
      </c>
    </row>
    <row r="351" spans="1:13" x14ac:dyDescent="0.25">
      <c r="A351" s="66" t="s">
        <v>299</v>
      </c>
      <c r="B351" s="66">
        <v>350</v>
      </c>
      <c r="C351" s="64">
        <f>'Arbeidsark-K'!U352*Vekting!$B$3</f>
        <v>12</v>
      </c>
      <c r="D351" s="64">
        <f>'Arbeidsark-K'!V352*Vekting!$C$3</f>
        <v>0.36809279061861727</v>
      </c>
      <c r="E351" s="64">
        <f>'Arbeidsark-K'!W352*Vekting!$D$3</f>
        <v>0.65459800071055985</v>
      </c>
      <c r="F351" s="64">
        <f>'Arbeidsark-K'!X352*Vekting!$E$3</f>
        <v>7.6568856805643719</v>
      </c>
      <c r="G351" s="64">
        <f>'Arbeidsark-K'!Y352*Vekting!$F$3</f>
        <v>3.8694301995820242</v>
      </c>
      <c r="H351" s="64">
        <f>'Arbeidsark-K'!Z352*Vekting!$G$3</f>
        <v>3.3382866725553897</v>
      </c>
      <c r="I351" s="64">
        <f>'Arbeidsark-K'!AA352*Vekting!$H$3</f>
        <v>4.2803393666782616</v>
      </c>
      <c r="J351" s="64">
        <f>'Arbeidsark-K'!AB352*Vekting!$I$3</f>
        <v>1.3700642991913057</v>
      </c>
      <c r="K351" s="64">
        <f>'Arbeidsark-K'!AC352*Vekting!$J$3</f>
        <v>0</v>
      </c>
      <c r="L351" s="63">
        <f t="shared" si="5"/>
        <v>33.537697009900526</v>
      </c>
      <c r="M351" s="65" t="s">
        <v>794</v>
      </c>
    </row>
    <row r="352" spans="1:13" x14ac:dyDescent="0.25">
      <c r="A352" s="66" t="s">
        <v>300</v>
      </c>
      <c r="B352" s="66">
        <v>351</v>
      </c>
      <c r="C352" s="64">
        <f>'Arbeidsark-K'!U353*Vekting!$B$3</f>
        <v>12</v>
      </c>
      <c r="D352" s="64">
        <f>'Arbeidsark-K'!V353*Vekting!$C$3</f>
        <v>1.7844556864883441</v>
      </c>
      <c r="E352" s="64">
        <f>'Arbeidsark-K'!W353*Vekting!$D$3</f>
        <v>0.11931440623289974</v>
      </c>
      <c r="F352" s="64">
        <f>'Arbeidsark-K'!X353*Vekting!$E$3</f>
        <v>4.965177767216395</v>
      </c>
      <c r="G352" s="64">
        <f>'Arbeidsark-K'!Y353*Vekting!$F$3</f>
        <v>2.3125064355058775</v>
      </c>
      <c r="H352" s="64">
        <f>'Arbeidsark-K'!Z353*Vekting!$G$3</f>
        <v>0.85827046858015044</v>
      </c>
      <c r="I352" s="64">
        <f>'Arbeidsark-K'!AA353*Vekting!$H$3</f>
        <v>9.2552549228290868</v>
      </c>
      <c r="J352" s="64">
        <f>'Arbeidsark-K'!AB353*Vekting!$I$3</f>
        <v>4.0643393737600624</v>
      </c>
      <c r="K352" s="64">
        <f>'Arbeidsark-K'!AC353*Vekting!$J$3</f>
        <v>1.3850938576030218</v>
      </c>
      <c r="L352" s="63">
        <f t="shared" si="5"/>
        <v>36.744412918215843</v>
      </c>
      <c r="M352" s="65" t="s">
        <v>795</v>
      </c>
    </row>
    <row r="353" spans="1:13" x14ac:dyDescent="0.25">
      <c r="A353" s="66" t="s">
        <v>301</v>
      </c>
      <c r="B353" s="66">
        <v>352</v>
      </c>
      <c r="C353" s="64">
        <f>'Arbeidsark-K'!U354*Vekting!$B$3</f>
        <v>12</v>
      </c>
      <c r="D353" s="64">
        <f>'Arbeidsark-K'!V354*Vekting!$C$3</f>
        <v>2.5559157048660563</v>
      </c>
      <c r="E353" s="64">
        <f>'Arbeidsark-K'!W354*Vekting!$D$3</f>
        <v>0.34334940518632923</v>
      </c>
      <c r="F353" s="64">
        <f>'Arbeidsark-K'!X354*Vekting!$E$3</f>
        <v>7.8135410783549135</v>
      </c>
      <c r="G353" s="64">
        <f>'Arbeidsark-K'!Y354*Vekting!$F$3</f>
        <v>3.3398754157244732</v>
      </c>
      <c r="H353" s="64">
        <f>'Arbeidsark-K'!Z354*Vekting!$G$3</f>
        <v>3.0752840974826618</v>
      </c>
      <c r="I353" s="64">
        <f>'Arbeidsark-K'!AA354*Vekting!$H$3</f>
        <v>7.4548792429003106</v>
      </c>
      <c r="J353" s="64">
        <f>'Arbeidsark-K'!AB354*Vekting!$I$3</f>
        <v>3.4460271057436445</v>
      </c>
      <c r="K353" s="64">
        <f>'Arbeidsark-K'!AC354*Vekting!$J$3</f>
        <v>4.6728868155059429</v>
      </c>
      <c r="L353" s="63">
        <f t="shared" si="5"/>
        <v>44.701758865764333</v>
      </c>
      <c r="M353" s="65" t="s">
        <v>796</v>
      </c>
    </row>
    <row r="354" spans="1:13" x14ac:dyDescent="0.25">
      <c r="A354" s="66" t="s">
        <v>302</v>
      </c>
      <c r="B354" s="66">
        <v>353</v>
      </c>
      <c r="C354" s="64">
        <f>'Arbeidsark-K'!U355*Vekting!$B$3</f>
        <v>0</v>
      </c>
      <c r="D354" s="64">
        <f>'Arbeidsark-K'!V355*Vekting!$C$3</f>
        <v>0</v>
      </c>
      <c r="E354" s="64">
        <f>'Arbeidsark-K'!W355*Vekting!$D$3</f>
        <v>0.44678471255699609</v>
      </c>
      <c r="F354" s="64">
        <f>'Arbeidsark-K'!X355*Vekting!$E$3</f>
        <v>2.5110602916060003</v>
      </c>
      <c r="G354" s="64">
        <f>'Arbeidsark-K'!Y355*Vekting!$F$3</f>
        <v>1.0565153891874253</v>
      </c>
      <c r="H354" s="64">
        <f>'Arbeidsark-K'!Z355*Vekting!$G$3</f>
        <v>0.68034951227061136</v>
      </c>
      <c r="I354" s="64">
        <f>'Arbeidsark-K'!AA355*Vekting!$H$3</f>
        <v>4.3588218283530189</v>
      </c>
      <c r="J354" s="64">
        <f>'Arbeidsark-K'!AB355*Vekting!$I$3</f>
        <v>3.3199385114739997</v>
      </c>
      <c r="K354" s="64">
        <f>'Arbeidsark-K'!AC355*Vekting!$J$3</f>
        <v>7.3275574808397215</v>
      </c>
      <c r="L354" s="63">
        <f t="shared" si="5"/>
        <v>19.701027726287773</v>
      </c>
      <c r="M354" s="65" t="s">
        <v>797</v>
      </c>
    </row>
    <row r="355" spans="1:13" x14ac:dyDescent="0.25">
      <c r="A355" s="66" t="s">
        <v>303</v>
      </c>
      <c r="B355" s="66">
        <v>354</v>
      </c>
      <c r="C355" s="64">
        <f>'Arbeidsark-K'!U356*Vekting!$B$3</f>
        <v>0</v>
      </c>
      <c r="D355" s="64">
        <f>'Arbeidsark-K'!V356*Vekting!$C$3</f>
        <v>0</v>
      </c>
      <c r="E355" s="64">
        <f>'Arbeidsark-K'!W356*Vekting!$D$3</f>
        <v>2.0050409725891414</v>
      </c>
      <c r="F355" s="64">
        <f>'Arbeidsark-K'!X356*Vekting!$E$3</f>
        <v>8.3680130378097353</v>
      </c>
      <c r="G355" s="64">
        <f>'Arbeidsark-K'!Y356*Vekting!$F$3</f>
        <v>4.3137676464567303</v>
      </c>
      <c r="H355" s="64">
        <f>'Arbeidsark-K'!Z356*Vekting!$G$3</f>
        <v>4.0256422711178947</v>
      </c>
      <c r="I355" s="64">
        <f>'Arbeidsark-K'!AA356*Vekting!$H$3</f>
        <v>6.1024189714775963</v>
      </c>
      <c r="J355" s="64">
        <f>'Arbeidsark-K'!AB356*Vekting!$I$3</f>
        <v>3.9387947431481649</v>
      </c>
      <c r="K355" s="64">
        <f>'Arbeidsark-K'!AC356*Vekting!$J$3</f>
        <v>1.4073086748861485</v>
      </c>
      <c r="L355" s="63">
        <f t="shared" si="5"/>
        <v>30.160986317485413</v>
      </c>
      <c r="M355" s="65" t="s">
        <v>798</v>
      </c>
    </row>
    <row r="356" spans="1:13" x14ac:dyDescent="0.25">
      <c r="A356" s="66" t="s">
        <v>304</v>
      </c>
      <c r="B356" s="66">
        <v>355</v>
      </c>
      <c r="C356" s="64">
        <f>'Arbeidsark-K'!U357*Vekting!$B$3</f>
        <v>0</v>
      </c>
      <c r="D356" s="64">
        <f>'Arbeidsark-K'!V357*Vekting!$C$3</f>
        <v>0</v>
      </c>
      <c r="E356" s="64">
        <f>'Arbeidsark-K'!W357*Vekting!$D$3</f>
        <v>3.9935556995165204E-2</v>
      </c>
      <c r="F356" s="64">
        <f>'Arbeidsark-K'!X357*Vekting!$E$3</f>
        <v>0</v>
      </c>
      <c r="G356" s="64">
        <f>'Arbeidsark-K'!Y357*Vekting!$F$3</f>
        <v>0.42481065787488037</v>
      </c>
      <c r="H356" s="64">
        <f>'Arbeidsark-K'!Z357*Vekting!$G$3</f>
        <v>1.897636955349481</v>
      </c>
      <c r="I356" s="64">
        <f>'Arbeidsark-K'!AA357*Vekting!$H$3</f>
        <v>0</v>
      </c>
      <c r="J356" s="64">
        <f>'Arbeidsark-K'!AB357*Vekting!$I$3</f>
        <v>8.3938658830955752</v>
      </c>
      <c r="K356" s="64">
        <f>'Arbeidsark-K'!AC357*Vekting!$J$3</f>
        <v>1.8849272464733973</v>
      </c>
      <c r="L356" s="63">
        <f t="shared" si="5"/>
        <v>12.6411762997885</v>
      </c>
      <c r="M356" s="65" t="s">
        <v>799</v>
      </c>
    </row>
    <row r="357" spans="1:13" x14ac:dyDescent="0.25">
      <c r="A357" s="66" t="s">
        <v>305</v>
      </c>
      <c r="B357" s="66">
        <v>356</v>
      </c>
      <c r="C357" s="64">
        <f>'Arbeidsark-K'!U358*Vekting!$B$3</f>
        <v>2</v>
      </c>
      <c r="D357" s="64">
        <f>'Arbeidsark-K'!V358*Vekting!$C$3</f>
        <v>0.22807212410678113</v>
      </c>
      <c r="E357" s="64">
        <f>'Arbeidsark-K'!W358*Vekting!$D$3</f>
        <v>0.45602953133553115</v>
      </c>
      <c r="F357" s="64">
        <f>'Arbeidsark-K'!X358*Vekting!$E$3</f>
        <v>1.7496132956405746</v>
      </c>
      <c r="G357" s="64">
        <f>'Arbeidsark-K'!Y358*Vekting!$F$3</f>
        <v>1.6087109139092293</v>
      </c>
      <c r="H357" s="64">
        <f>'Arbeidsark-K'!Z358*Vekting!$G$3</f>
        <v>2.3148724279351547</v>
      </c>
      <c r="I357" s="64">
        <f>'Arbeidsark-K'!AA358*Vekting!$H$3</f>
        <v>2.5185489146624622</v>
      </c>
      <c r="J357" s="64">
        <f>'Arbeidsark-K'!AB358*Vekting!$I$3</f>
        <v>4.0156983279573408</v>
      </c>
      <c r="K357" s="64">
        <f>'Arbeidsark-K'!AC358*Vekting!$J$3</f>
        <v>4.683994224147507</v>
      </c>
      <c r="L357" s="63">
        <f t="shared" si="5"/>
        <v>19.575539759694582</v>
      </c>
      <c r="M357" s="65" t="s">
        <v>800</v>
      </c>
    </row>
    <row r="358" spans="1:13" x14ac:dyDescent="0.25">
      <c r="A358" s="66" t="s">
        <v>306</v>
      </c>
      <c r="B358" s="66">
        <v>357</v>
      </c>
      <c r="C358" s="64">
        <f>'Arbeidsark-K'!U359*Vekting!$B$3</f>
        <v>6</v>
      </c>
      <c r="D358" s="64">
        <f>'Arbeidsark-K'!V359*Vekting!$C$3</f>
        <v>1.2109094948148615</v>
      </c>
      <c r="E358" s="64">
        <f>'Arbeidsark-K'!W359*Vekting!$D$3</f>
        <v>0.13412758544877335</v>
      </c>
      <c r="F358" s="64">
        <f>'Arbeidsark-K'!X359*Vekting!$E$3</f>
        <v>2.3378916717690914</v>
      </c>
      <c r="G358" s="64">
        <f>'Arbeidsark-K'!Y359*Vekting!$F$3</f>
        <v>1.3055513045179539</v>
      </c>
      <c r="H358" s="64">
        <f>'Arbeidsark-K'!Z359*Vekting!$G$3</f>
        <v>0.38413970332707659</v>
      </c>
      <c r="I358" s="64">
        <f>'Arbeidsark-K'!AA359*Vekting!$H$3</f>
        <v>4.6758025033083692</v>
      </c>
      <c r="J358" s="64">
        <f>'Arbeidsark-K'!AB359*Vekting!$I$3</f>
        <v>2.9898411971954406</v>
      </c>
      <c r="K358" s="64">
        <f>'Arbeidsark-K'!AC359*Vekting!$J$3</f>
        <v>1.9848939242474728</v>
      </c>
      <c r="L358" s="63">
        <f t="shared" si="5"/>
        <v>21.023157384629037</v>
      </c>
      <c r="M358" s="65" t="s">
        <v>801</v>
      </c>
    </row>
    <row r="359" spans="1:13" x14ac:dyDescent="0.25">
      <c r="A359" s="66" t="s">
        <v>307</v>
      </c>
      <c r="B359" s="66">
        <v>358</v>
      </c>
      <c r="C359" s="64">
        <f>'Arbeidsark-K'!U360*Vekting!$B$3</f>
        <v>0</v>
      </c>
      <c r="D359" s="64">
        <f>'Arbeidsark-K'!V360*Vekting!$C$3</f>
        <v>0.56735296988546091</v>
      </c>
      <c r="E359" s="64">
        <f>'Arbeidsark-K'!W360*Vekting!$D$3</f>
        <v>0</v>
      </c>
      <c r="F359" s="64">
        <f>'Arbeidsark-K'!X360*Vekting!$E$3</f>
        <v>0</v>
      </c>
      <c r="G359" s="64">
        <f>'Arbeidsark-K'!Y360*Vekting!$F$3</f>
        <v>0</v>
      </c>
      <c r="H359" s="64">
        <f>'Arbeidsark-K'!Z360*Vekting!$G$3</f>
        <v>0</v>
      </c>
      <c r="I359" s="64">
        <f>'Arbeidsark-K'!AA360*Vekting!$H$3</f>
        <v>3.899420865030562</v>
      </c>
      <c r="J359" s="64">
        <f>'Arbeidsark-K'!AB360*Vekting!$I$3</f>
        <v>4.1840025826833456</v>
      </c>
      <c r="K359" s="64">
        <f>'Arbeidsark-K'!AC360*Vekting!$J$3</f>
        <v>0</v>
      </c>
      <c r="L359" s="63">
        <f t="shared" si="5"/>
        <v>8.6507764175993671</v>
      </c>
      <c r="M359" s="65" t="s">
        <v>802</v>
      </c>
    </row>
    <row r="360" spans="1:13" x14ac:dyDescent="0.25">
      <c r="A360" s="66" t="s">
        <v>308</v>
      </c>
      <c r="B360" s="66">
        <v>359</v>
      </c>
      <c r="C360" s="64">
        <f>'Arbeidsark-K'!U361*Vekting!$B$3</f>
        <v>10</v>
      </c>
      <c r="D360" s="64">
        <f>'Arbeidsark-K'!V361*Vekting!$C$3</f>
        <v>1.2701490075698691</v>
      </c>
      <c r="E360" s="64">
        <f>'Arbeidsark-K'!W361*Vekting!$D$3</f>
        <v>6.5306345528820489E-2</v>
      </c>
      <c r="F360" s="64">
        <f>'Arbeidsark-K'!X361*Vekting!$E$3</f>
        <v>4.9550231353560292</v>
      </c>
      <c r="G360" s="64">
        <f>'Arbeidsark-K'!Y361*Vekting!$F$3</f>
        <v>1.5226428622921659</v>
      </c>
      <c r="H360" s="64">
        <f>'Arbeidsark-K'!Z361*Vekting!$G$3</f>
        <v>1.3384723663543547</v>
      </c>
      <c r="I360" s="64">
        <f>'Arbeidsark-K'!AA361*Vekting!$H$3</f>
        <v>3.7027812625703165</v>
      </c>
      <c r="J360" s="64">
        <f>'Arbeidsark-K'!AB361*Vekting!$I$3</f>
        <v>4.019643530258068</v>
      </c>
      <c r="K360" s="64">
        <f>'Arbeidsark-K'!AC361*Vekting!$J$3</f>
        <v>1.5961346217927357</v>
      </c>
      <c r="L360" s="63">
        <f t="shared" si="5"/>
        <v>28.470153131722363</v>
      </c>
      <c r="M360" s="65" t="s">
        <v>803</v>
      </c>
    </row>
    <row r="361" spans="1:13" x14ac:dyDescent="0.25">
      <c r="A361" s="66" t="s">
        <v>309</v>
      </c>
      <c r="B361" s="66">
        <v>360</v>
      </c>
      <c r="C361" s="64">
        <f>'Arbeidsark-K'!U362*Vekting!$B$3</f>
        <v>12</v>
      </c>
      <c r="D361" s="64">
        <f>'Arbeidsark-K'!V362*Vekting!$C$3</f>
        <v>2.3849289294141029</v>
      </c>
      <c r="E361" s="64">
        <f>'Arbeidsark-K'!W362*Vekting!$D$3</f>
        <v>0.51074406542976625</v>
      </c>
      <c r="F361" s="64">
        <f>'Arbeidsark-K'!X362*Vekting!$E$3</f>
        <v>7.1007888095712843</v>
      </c>
      <c r="G361" s="64">
        <f>'Arbeidsark-K'!Y362*Vekting!$F$3</f>
        <v>2.2832152961961616</v>
      </c>
      <c r="H361" s="64">
        <f>'Arbeidsark-K'!Z362*Vekting!$G$3</f>
        <v>2.0170778889668628</v>
      </c>
      <c r="I361" s="64">
        <f>'Arbeidsark-K'!AA362*Vekting!$H$3</f>
        <v>8.7523984423535008</v>
      </c>
      <c r="J361" s="64">
        <f>'Arbeidsark-K'!AB362*Vekting!$I$3</f>
        <v>4.4378755439792057</v>
      </c>
      <c r="K361" s="64">
        <f>'Arbeidsark-K'!AC362*Vekting!$J$3</f>
        <v>3.7842941241808283</v>
      </c>
      <c r="L361" s="63">
        <f t="shared" si="5"/>
        <v>43.271323100091706</v>
      </c>
      <c r="M361" s="65" t="s">
        <v>804</v>
      </c>
    </row>
    <row r="362" spans="1:13" x14ac:dyDescent="0.25">
      <c r="A362" s="66" t="s">
        <v>310</v>
      </c>
      <c r="B362" s="66">
        <v>361</v>
      </c>
      <c r="C362" s="64">
        <f>'Arbeidsark-K'!U363*Vekting!$B$3</f>
        <v>10</v>
      </c>
      <c r="D362" s="64">
        <f>'Arbeidsark-K'!V363*Vekting!$C$3</f>
        <v>1.8167681479910756</v>
      </c>
      <c r="E362" s="64">
        <f>'Arbeidsark-K'!W363*Vekting!$D$3</f>
        <v>0</v>
      </c>
      <c r="F362" s="64">
        <f>'Arbeidsark-K'!X363*Vekting!$E$3</f>
        <v>0</v>
      </c>
      <c r="G362" s="64">
        <f>'Arbeidsark-K'!Y363*Vekting!$F$3</f>
        <v>6.3609769058711407E-2</v>
      </c>
      <c r="H362" s="64">
        <f>'Arbeidsark-K'!Z363*Vekting!$G$3</f>
        <v>0.15690397232816145</v>
      </c>
      <c r="I362" s="64">
        <f>'Arbeidsark-K'!AA363*Vekting!$H$3</f>
        <v>5.1973893629165477</v>
      </c>
      <c r="J362" s="64">
        <f>'Arbeidsark-K'!AB363*Vekting!$I$3</f>
        <v>5.9803091228745267</v>
      </c>
      <c r="K362" s="64">
        <f>'Arbeidsark-K'!AC363*Vekting!$J$3</f>
        <v>1.8960346551149614</v>
      </c>
      <c r="L362" s="63">
        <f t="shared" si="5"/>
        <v>25.111015030283983</v>
      </c>
      <c r="M362" s="65" t="s">
        <v>805</v>
      </c>
    </row>
    <row r="363" spans="1:13" x14ac:dyDescent="0.25">
      <c r="A363" s="66" t="s">
        <v>311</v>
      </c>
      <c r="B363" s="66">
        <v>362</v>
      </c>
      <c r="C363" s="64">
        <f>'Arbeidsark-K'!U364*Vekting!$B$3</f>
        <v>0</v>
      </c>
      <c r="D363" s="64">
        <f>'Arbeidsark-K'!V364*Vekting!$C$3</f>
        <v>0</v>
      </c>
      <c r="E363" s="64">
        <f>'Arbeidsark-K'!W364*Vekting!$D$3</f>
        <v>9.5002233524598981E-2</v>
      </c>
      <c r="F363" s="64">
        <f>'Arbeidsark-K'!X364*Vekting!$E$3</f>
        <v>0.29354425756221758</v>
      </c>
      <c r="G363" s="64">
        <f>'Arbeidsark-K'!Y364*Vekting!$F$3</f>
        <v>0.74481027963416369</v>
      </c>
      <c r="H363" s="64">
        <f>'Arbeidsark-K'!Z364*Vekting!$G$3</f>
        <v>0</v>
      </c>
      <c r="I363" s="64">
        <f>'Arbeidsark-K'!AA364*Vekting!$H$3</f>
        <v>7.5627436031477657</v>
      </c>
      <c r="J363" s="64">
        <f>'Arbeidsark-K'!AB364*Vekting!$I$3</f>
        <v>5.2219745316487511</v>
      </c>
      <c r="K363" s="64">
        <f>'Arbeidsark-K'!AC364*Vekting!$J$3</f>
        <v>1.651671665000555</v>
      </c>
      <c r="L363" s="63">
        <f t="shared" si="5"/>
        <v>15.569746570518051</v>
      </c>
      <c r="M363" s="65" t="s">
        <v>806</v>
      </c>
    </row>
    <row r="364" spans="1:13" x14ac:dyDescent="0.25">
      <c r="A364" s="66" t="s">
        <v>312</v>
      </c>
      <c r="B364" s="66">
        <v>363</v>
      </c>
      <c r="C364" s="64">
        <f>'Arbeidsark-K'!U365*Vekting!$B$3</f>
        <v>0</v>
      </c>
      <c r="D364" s="64">
        <f>'Arbeidsark-K'!V365*Vekting!$C$3</f>
        <v>0</v>
      </c>
      <c r="E364" s="64">
        <f>'Arbeidsark-K'!W365*Vekting!$D$3</f>
        <v>3.7692729242479572E-2</v>
      </c>
      <c r="F364" s="64">
        <f>'Arbeidsark-K'!X365*Vekting!$E$3</f>
        <v>6.5949921818423434</v>
      </c>
      <c r="G364" s="64">
        <f>'Arbeidsark-K'!Y365*Vekting!$F$3</f>
        <v>1.2586869618419378</v>
      </c>
      <c r="H364" s="64">
        <f>'Arbeidsark-K'!Z365*Vekting!$G$3</f>
        <v>5.0289973910053735E-2</v>
      </c>
      <c r="I364" s="64">
        <f>'Arbeidsark-K'!AA365*Vekting!$H$3</f>
        <v>5.0940625739825229</v>
      </c>
      <c r="J364" s="64">
        <f>'Arbeidsark-K'!AB365*Vekting!$I$3</f>
        <v>6.0963455842944914</v>
      </c>
      <c r="K364" s="64">
        <f>'Arbeidsark-K'!AC365*Vekting!$J$3</f>
        <v>1.0518715983561038</v>
      </c>
      <c r="L364" s="63">
        <f t="shared" si="5"/>
        <v>20.183941603469933</v>
      </c>
      <c r="M364" s="65" t="s">
        <v>807</v>
      </c>
    </row>
    <row r="365" spans="1:13" x14ac:dyDescent="0.25">
      <c r="A365" s="66" t="s">
        <v>313</v>
      </c>
      <c r="B365" s="66">
        <v>364</v>
      </c>
      <c r="C365" s="64">
        <f>'Arbeidsark-K'!U366*Vekting!$B$3</f>
        <v>0</v>
      </c>
      <c r="D365" s="64">
        <f>'Arbeidsark-K'!V366*Vekting!$C$3</f>
        <v>0</v>
      </c>
      <c r="E365" s="64">
        <f>'Arbeidsark-K'!W366*Vekting!$D$3</f>
        <v>6.976884786710969E-3</v>
      </c>
      <c r="F365" s="64">
        <f>'Arbeidsark-K'!X366*Vekting!$E$3</f>
        <v>0.83503637169534395</v>
      </c>
      <c r="G365" s="64">
        <f>'Arbeidsark-K'!Y366*Vekting!$F$3</f>
        <v>0.52308893655671296</v>
      </c>
      <c r="H365" s="64">
        <f>'Arbeidsark-K'!Z366*Vekting!$G$3</f>
        <v>0.4166581622962473</v>
      </c>
      <c r="I365" s="64">
        <f>'Arbeidsark-K'!AA366*Vekting!$H$3</f>
        <v>1.3754120185471566</v>
      </c>
      <c r="J365" s="64">
        <f>'Arbeidsark-K'!AB366*Vekting!$I$3</f>
        <v>0</v>
      </c>
      <c r="K365" s="64">
        <f>'Arbeidsark-K'!AC366*Vekting!$J$3</f>
        <v>0.22992335888037305</v>
      </c>
      <c r="L365" s="63">
        <f t="shared" si="5"/>
        <v>3.3870957327625444</v>
      </c>
      <c r="M365" s="65" t="s">
        <v>808</v>
      </c>
    </row>
    <row r="366" spans="1:13" x14ac:dyDescent="0.25">
      <c r="A366" s="66" t="s">
        <v>314</v>
      </c>
      <c r="B366" s="66">
        <v>365</v>
      </c>
      <c r="C366" s="64">
        <f>'Arbeidsark-K'!U367*Vekting!$B$3</f>
        <v>0</v>
      </c>
      <c r="D366" s="64">
        <f>'Arbeidsark-K'!V367*Vekting!$C$3</f>
        <v>1.2647635973194138</v>
      </c>
      <c r="E366" s="64">
        <f>'Arbeidsark-K'!W367*Vekting!$D$3</f>
        <v>0.2086954370348181</v>
      </c>
      <c r="F366" s="64">
        <f>'Arbeidsark-K'!X367*Vekting!$E$3</f>
        <v>2.5371736889638896E-3</v>
      </c>
      <c r="G366" s="64">
        <f>'Arbeidsark-K'!Y367*Vekting!$F$3</f>
        <v>0</v>
      </c>
      <c r="H366" s="64">
        <f>'Arbeidsark-K'!Z367*Vekting!$G$3</f>
        <v>0</v>
      </c>
      <c r="I366" s="64">
        <f>'Arbeidsark-K'!AA367*Vekting!$H$3</f>
        <v>1.9364821516259383</v>
      </c>
      <c r="J366" s="64">
        <f>'Arbeidsark-K'!AB367*Vekting!$I$3</f>
        <v>2.4861065706707226</v>
      </c>
      <c r="K366" s="64">
        <f>'Arbeidsark-K'!AC367*Vekting!$J$3</f>
        <v>0.86304565144951662</v>
      </c>
      <c r="L366" s="63">
        <f t="shared" si="5"/>
        <v>6.7616305817893725</v>
      </c>
      <c r="M366" s="65" t="s">
        <v>809</v>
      </c>
    </row>
    <row r="367" spans="1:13" x14ac:dyDescent="0.25">
      <c r="A367" s="66" t="s">
        <v>315</v>
      </c>
      <c r="B367" s="66">
        <v>366</v>
      </c>
      <c r="C367" s="64">
        <f>'Arbeidsark-K'!U368*Vekting!$B$3</f>
        <v>12</v>
      </c>
      <c r="D367" s="64">
        <f>'Arbeidsark-K'!V368*Vekting!$C$3</f>
        <v>2.7430587110693758</v>
      </c>
      <c r="E367" s="64">
        <f>'Arbeidsark-K'!W368*Vekting!$D$3</f>
        <v>0.19945321981129782</v>
      </c>
      <c r="F367" s="64">
        <f>'Arbeidsark-K'!X368*Vekting!$E$3</f>
        <v>0</v>
      </c>
      <c r="G367" s="64">
        <f>'Arbeidsark-K'!Y368*Vekting!$F$3</f>
        <v>0</v>
      </c>
      <c r="H367" s="64">
        <f>'Arbeidsark-K'!Z368*Vekting!$G$3</f>
        <v>0</v>
      </c>
      <c r="I367" s="64">
        <f>'Arbeidsark-K'!AA368*Vekting!$H$3</f>
        <v>4.3474048259818323</v>
      </c>
      <c r="J367" s="64">
        <f>'Arbeidsark-K'!AB368*Vekting!$I$3</f>
        <v>3.4265042416384475</v>
      </c>
      <c r="K367" s="64">
        <f>'Arbeidsark-K'!AC368*Vekting!$J$3</f>
        <v>1.7405309341330666</v>
      </c>
      <c r="L367" s="63">
        <f t="shared" si="5"/>
        <v>24.45695193263402</v>
      </c>
      <c r="M367" s="65" t="s">
        <v>810</v>
      </c>
    </row>
    <row r="368" spans="1:13" x14ac:dyDescent="0.25">
      <c r="A368" s="66" t="s">
        <v>316</v>
      </c>
      <c r="B368" s="66">
        <v>367</v>
      </c>
      <c r="C368" s="64">
        <f>'Arbeidsark-K'!U369*Vekting!$B$3</f>
        <v>12</v>
      </c>
      <c r="D368" s="64">
        <f>'Arbeidsark-K'!V369*Vekting!$C$3</f>
        <v>3.2600580951130782</v>
      </c>
      <c r="E368" s="64">
        <f>'Arbeidsark-K'!W369*Vekting!$D$3</f>
        <v>0.320547254696254</v>
      </c>
      <c r="F368" s="64">
        <f>'Arbeidsark-K'!X369*Vekting!$E$3</f>
        <v>7.2931447171953749</v>
      </c>
      <c r="G368" s="64">
        <f>'Arbeidsark-K'!Y369*Vekting!$F$3</f>
        <v>0</v>
      </c>
      <c r="H368" s="64">
        <f>'Arbeidsark-K'!Z369*Vekting!$G$3</f>
        <v>0</v>
      </c>
      <c r="I368" s="64">
        <f>'Arbeidsark-K'!AA369*Vekting!$H$3</f>
        <v>2.1315337510905823</v>
      </c>
      <c r="J368" s="64">
        <f>'Arbeidsark-K'!AB369*Vekting!$I$3</f>
        <v>0</v>
      </c>
      <c r="K368" s="64">
        <f>'Arbeidsark-K'!AC369*Vekting!$J$3</f>
        <v>0</v>
      </c>
      <c r="L368" s="63">
        <f t="shared" si="5"/>
        <v>25.00528381809529</v>
      </c>
      <c r="M368" s="65" t="s">
        <v>811</v>
      </c>
    </row>
    <row r="369" spans="1:13" x14ac:dyDescent="0.25">
      <c r="A369" s="66" t="s">
        <v>317</v>
      </c>
      <c r="B369" s="66">
        <v>368</v>
      </c>
      <c r="C369" s="64">
        <f>'Arbeidsark-K'!U370*Vekting!$B$3</f>
        <v>12</v>
      </c>
      <c r="D369" s="64">
        <f>'Arbeidsark-K'!V370*Vekting!$C$3</f>
        <v>0</v>
      </c>
      <c r="E369" s="64">
        <f>'Arbeidsark-K'!W370*Vekting!$D$3</f>
        <v>0.11136979811757329</v>
      </c>
      <c r="F369" s="64">
        <f>'Arbeidsark-K'!X370*Vekting!$E$3</f>
        <v>0.52480412635642892</v>
      </c>
      <c r="G369" s="64">
        <f>'Arbeidsark-K'!Y370*Vekting!$F$3</f>
        <v>1.1041308947352804</v>
      </c>
      <c r="H369" s="64">
        <f>'Arbeidsark-K'!Z370*Vekting!$G$3</f>
        <v>0.66776781406986707</v>
      </c>
      <c r="I369" s="64">
        <f>'Arbeidsark-K'!AA370*Vekting!$H$3</f>
        <v>0</v>
      </c>
      <c r="J369" s="64">
        <f>'Arbeidsark-K'!AB370*Vekting!$I$3</f>
        <v>0</v>
      </c>
      <c r="K369" s="64">
        <f>'Arbeidsark-K'!AC370*Vekting!$J$3</f>
        <v>0.21881595023880893</v>
      </c>
      <c r="L369" s="63">
        <f t="shared" si="5"/>
        <v>14.62688858351796</v>
      </c>
      <c r="M369" s="65" t="s">
        <v>812</v>
      </c>
    </row>
    <row r="370" spans="1:13" x14ac:dyDescent="0.25">
      <c r="A370" s="66" t="s">
        <v>318</v>
      </c>
      <c r="B370" s="66">
        <v>369</v>
      </c>
      <c r="C370" s="64">
        <f>'Arbeidsark-K'!U371*Vekting!$B$3</f>
        <v>0</v>
      </c>
      <c r="D370" s="64">
        <f>'Arbeidsark-K'!V371*Vekting!$C$3</f>
        <v>3.1504649965165082E-2</v>
      </c>
      <c r="E370" s="64">
        <f>'Arbeidsark-K'!W371*Vekting!$D$3</f>
        <v>3.8433919671192953</v>
      </c>
      <c r="F370" s="64">
        <f>'Arbeidsark-K'!X371*Vekting!$E$3</f>
        <v>0</v>
      </c>
      <c r="G370" s="64">
        <f>'Arbeidsark-K'!Y371*Vekting!$F$3</f>
        <v>0.46767345854608494</v>
      </c>
      <c r="H370" s="64">
        <f>'Arbeidsark-K'!Z371*Vekting!$G$3</f>
        <v>1.3429316211578417</v>
      </c>
      <c r="I370" s="64">
        <f>'Arbeidsark-K'!AA371*Vekting!$H$3</f>
        <v>0</v>
      </c>
      <c r="J370" s="64">
        <f>'Arbeidsark-K'!AB371*Vekting!$I$3</f>
        <v>4.4866710122595501</v>
      </c>
      <c r="K370" s="64">
        <f>'Arbeidsark-K'!AC371*Vekting!$J$3</f>
        <v>9.9377985116072427</v>
      </c>
      <c r="L370" s="63">
        <f t="shared" si="5"/>
        <v>20.109971220655183</v>
      </c>
      <c r="M370" s="65" t="s">
        <v>813</v>
      </c>
    </row>
    <row r="371" spans="1:13" x14ac:dyDescent="0.25">
      <c r="A371" s="66" t="s">
        <v>319</v>
      </c>
      <c r="B371" s="66">
        <v>370</v>
      </c>
      <c r="C371" s="64">
        <f>'Arbeidsark-K'!U372*Vekting!$B$3</f>
        <v>0</v>
      </c>
      <c r="D371" s="64">
        <f>'Arbeidsark-K'!V372*Vekting!$C$3</f>
        <v>1.1247429308075778</v>
      </c>
      <c r="E371" s="64">
        <f>'Arbeidsark-K'!W372*Vekting!$D$3</f>
        <v>2.8820023814028533</v>
      </c>
      <c r="F371" s="64">
        <f>'Arbeidsark-K'!X372*Vekting!$E$3</f>
        <v>4.2370127125335646</v>
      </c>
      <c r="G371" s="64">
        <f>'Arbeidsark-K'!Y372*Vekting!$F$3</f>
        <v>1.2606483644386346</v>
      </c>
      <c r="H371" s="64">
        <f>'Arbeidsark-K'!Z372*Vekting!$G$3</f>
        <v>1.4450914105553101</v>
      </c>
      <c r="I371" s="64">
        <f>'Arbeidsark-K'!AA372*Vekting!$H$3</f>
        <v>3.836565238510639</v>
      </c>
      <c r="J371" s="64">
        <f>'Arbeidsark-K'!AB372*Vekting!$I$3</f>
        <v>6.8351557341679356</v>
      </c>
      <c r="K371" s="64">
        <f>'Arbeidsark-K'!AC372*Vekting!$J$3</f>
        <v>5.2060424303010109</v>
      </c>
      <c r="L371" s="63">
        <f t="shared" si="5"/>
        <v>26.827261202717526</v>
      </c>
      <c r="M371" s="65" t="s">
        <v>814</v>
      </c>
    </row>
    <row r="372" spans="1:13" x14ac:dyDescent="0.25">
      <c r="A372" s="66" t="s">
        <v>320</v>
      </c>
      <c r="B372" s="66">
        <v>371</v>
      </c>
      <c r="C372" s="64">
        <f>'Arbeidsark-K'!U373*Vekting!$B$3</f>
        <v>4</v>
      </c>
      <c r="D372" s="64">
        <f>'Arbeidsark-K'!V373*Vekting!$C$3</f>
        <v>0.85547241828481602</v>
      </c>
      <c r="E372" s="64">
        <f>'Arbeidsark-K'!W373*Vekting!$D$3</f>
        <v>0.47081449133528253</v>
      </c>
      <c r="F372" s="64">
        <f>'Arbeidsark-K'!X373*Vekting!$E$3</f>
        <v>0</v>
      </c>
      <c r="G372" s="64">
        <f>'Arbeidsark-K'!Y373*Vekting!$F$3</f>
        <v>1.5372381178650329</v>
      </c>
      <c r="H372" s="64">
        <f>'Arbeidsark-K'!Z373*Vekting!$G$3</f>
        <v>0.55450141957230314</v>
      </c>
      <c r="I372" s="64">
        <f>'Arbeidsark-K'!AA373*Vekting!$H$3</f>
        <v>0.56621469007640146</v>
      </c>
      <c r="J372" s="64">
        <f>'Arbeidsark-K'!AB373*Vekting!$I$3</f>
        <v>5.2319914694946643</v>
      </c>
      <c r="K372" s="64">
        <f>'Arbeidsark-K'!AC373*Vekting!$J$3</f>
        <v>3.1178496056869935</v>
      </c>
      <c r="L372" s="63">
        <f t="shared" si="5"/>
        <v>16.334082212315494</v>
      </c>
      <c r="M372" s="65" t="s">
        <v>815</v>
      </c>
    </row>
    <row r="373" spans="1:13" x14ac:dyDescent="0.25">
      <c r="A373" s="66" t="s">
        <v>321</v>
      </c>
      <c r="B373" s="66">
        <v>372</v>
      </c>
      <c r="C373" s="64">
        <f>'Arbeidsark-K'!U374*Vekting!$B$3</f>
        <v>4</v>
      </c>
      <c r="D373" s="64">
        <f>'Arbeidsark-K'!V374*Vekting!$C$3</f>
        <v>1.931208115813249</v>
      </c>
      <c r="E373" s="64">
        <f>'Arbeidsark-K'!W374*Vekting!$D$3</f>
        <v>1.8898602878887403</v>
      </c>
      <c r="F373" s="64">
        <f>'Arbeidsark-K'!X374*Vekting!$E$3</f>
        <v>9.0996956764448065</v>
      </c>
      <c r="G373" s="64">
        <f>'Arbeidsark-K'!Y374*Vekting!$F$3</f>
        <v>3.5604114915055685</v>
      </c>
      <c r="H373" s="64">
        <f>'Arbeidsark-K'!Z374*Vekting!$G$3</f>
        <v>3.222861504662923</v>
      </c>
      <c r="I373" s="64">
        <f>'Arbeidsark-K'!AA374*Vekting!$H$3</f>
        <v>7.8666880310791392</v>
      </c>
      <c r="J373" s="64">
        <f>'Arbeidsark-K'!AB374*Vekting!$I$3</f>
        <v>3.794978784383451</v>
      </c>
      <c r="K373" s="64">
        <f>'Arbeidsark-K'!AC374*Vekting!$J$3</f>
        <v>2.9956681106297909</v>
      </c>
      <c r="L373" s="63">
        <f t="shared" si="5"/>
        <v>38.36137200240767</v>
      </c>
      <c r="M373" s="65" t="s">
        <v>816</v>
      </c>
    </row>
    <row r="374" spans="1:13" x14ac:dyDescent="0.25">
      <c r="A374" s="66" t="s">
        <v>322</v>
      </c>
      <c r="B374" s="66">
        <v>373</v>
      </c>
      <c r="C374" s="64">
        <f>'Arbeidsark-K'!U375*Vekting!$B$3</f>
        <v>8</v>
      </c>
      <c r="D374" s="64">
        <f>'Arbeidsark-K'!V375*Vekting!$C$3</f>
        <v>1.7925338018640269</v>
      </c>
      <c r="E374" s="64">
        <f>'Arbeidsark-K'!W375*Vekting!$D$3</f>
        <v>1.3761670310992971</v>
      </c>
      <c r="F374" s="64">
        <f>'Arbeidsark-K'!X375*Vekting!$E$3</f>
        <v>9.0284775767106424</v>
      </c>
      <c r="G374" s="64">
        <f>'Arbeidsark-K'!Y375*Vekting!$F$3</f>
        <v>3.1439811563811828</v>
      </c>
      <c r="H374" s="64">
        <f>'Arbeidsark-K'!Z375*Vekting!$G$3</f>
        <v>3.0626561284143423</v>
      </c>
      <c r="I374" s="64">
        <f>'Arbeidsark-K'!AA375*Vekting!$H$3</f>
        <v>5.8268246823173353</v>
      </c>
      <c r="J374" s="64">
        <f>'Arbeidsark-K'!AB375*Vekting!$I$3</f>
        <v>4.2072200878601098</v>
      </c>
      <c r="K374" s="64">
        <f>'Arbeidsark-K'!AC375*Vekting!$J$3</f>
        <v>3.7509718982561369</v>
      </c>
      <c r="L374" s="63">
        <f t="shared" si="5"/>
        <v>40.188832362903078</v>
      </c>
      <c r="M374" s="65" t="s">
        <v>817</v>
      </c>
    </row>
    <row r="375" spans="1:13" x14ac:dyDescent="0.25">
      <c r="A375" s="66" t="s">
        <v>323</v>
      </c>
      <c r="B375" s="66">
        <v>374</v>
      </c>
      <c r="C375" s="64">
        <f>'Arbeidsark-K'!U376*Vekting!$B$3</f>
        <v>6</v>
      </c>
      <c r="D375" s="64">
        <f>'Arbeidsark-K'!V376*Vekting!$C$3</f>
        <v>0</v>
      </c>
      <c r="E375" s="64">
        <f>'Arbeidsark-K'!W376*Vekting!$D$3</f>
        <v>0.96075496325681942</v>
      </c>
      <c r="F375" s="64">
        <f>'Arbeidsark-K'!X376*Vekting!$E$3</f>
        <v>5.8091301576093715</v>
      </c>
      <c r="G375" s="64">
        <f>'Arbeidsark-K'!Y376*Vekting!$F$3</f>
        <v>2.4216133125251775</v>
      </c>
      <c r="H375" s="64">
        <f>'Arbeidsark-K'!Z376*Vekting!$G$3</f>
        <v>1.799681336828985</v>
      </c>
      <c r="I375" s="64">
        <f>'Arbeidsark-K'!AA376*Vekting!$H$3</f>
        <v>2.5942859250626995</v>
      </c>
      <c r="J375" s="64">
        <f>'Arbeidsark-K'!AB376*Vekting!$I$3</f>
        <v>2.5222505500530819</v>
      </c>
      <c r="K375" s="64">
        <f>'Arbeidsark-K'!AC376*Vekting!$J$3</f>
        <v>3.4510718649339114</v>
      </c>
      <c r="L375" s="63">
        <f t="shared" si="5"/>
        <v>25.558788110270047</v>
      </c>
      <c r="M375" s="65" t="s">
        <v>818</v>
      </c>
    </row>
    <row r="376" spans="1:13" x14ac:dyDescent="0.25">
      <c r="A376" s="66" t="s">
        <v>324</v>
      </c>
      <c r="B376" s="66">
        <v>375</v>
      </c>
      <c r="C376" s="64">
        <f>'Arbeidsark-K'!U377*Vekting!$B$3</f>
        <v>6</v>
      </c>
      <c r="D376" s="64">
        <f>'Arbeidsark-K'!V377*Vekting!$C$3</f>
        <v>0</v>
      </c>
      <c r="E376" s="64">
        <f>'Arbeidsark-K'!W377*Vekting!$D$3</f>
        <v>0.69994570896844266</v>
      </c>
      <c r="F376" s="64">
        <f>'Arbeidsark-K'!X377*Vekting!$E$3</f>
        <v>0</v>
      </c>
      <c r="G376" s="64">
        <f>'Arbeidsark-K'!Y377*Vekting!$F$3</f>
        <v>0</v>
      </c>
      <c r="H376" s="64">
        <f>'Arbeidsark-K'!Z377*Vekting!$G$3</f>
        <v>0</v>
      </c>
      <c r="I376" s="64">
        <f>'Arbeidsark-K'!AA377*Vekting!$H$3</f>
        <v>0.72396681315914435</v>
      </c>
      <c r="J376" s="64">
        <f>'Arbeidsark-K'!AB377*Vekting!$I$3</f>
        <v>0</v>
      </c>
      <c r="K376" s="64">
        <f>'Arbeidsark-K'!AC377*Vekting!$J$3</f>
        <v>0</v>
      </c>
      <c r="L376" s="63">
        <f t="shared" si="5"/>
        <v>7.423912522127587</v>
      </c>
      <c r="M376" s="65" t="s">
        <v>819</v>
      </c>
    </row>
    <row r="377" spans="1:13" x14ac:dyDescent="0.25">
      <c r="A377" s="66" t="s">
        <v>325</v>
      </c>
      <c r="B377" s="66">
        <v>376</v>
      </c>
      <c r="C377" s="64">
        <f>'Arbeidsark-K'!U378*Vekting!$B$3</f>
        <v>6</v>
      </c>
      <c r="D377" s="64">
        <f>'Arbeidsark-K'!V378*Vekting!$C$3</f>
        <v>0</v>
      </c>
      <c r="E377" s="64">
        <f>'Arbeidsark-K'!W378*Vekting!$D$3</f>
        <v>0.97553134391952057</v>
      </c>
      <c r="F377" s="64">
        <f>'Arbeidsark-K'!X378*Vekting!$E$3</f>
        <v>6.5030323195805897</v>
      </c>
      <c r="G377" s="64">
        <f>'Arbeidsark-K'!Y378*Vekting!$F$3</f>
        <v>1.6776733907729857</v>
      </c>
      <c r="H377" s="64">
        <f>'Arbeidsark-K'!Z378*Vekting!$G$3</f>
        <v>2.7375826123914737</v>
      </c>
      <c r="I377" s="64">
        <f>'Arbeidsark-K'!AA378*Vekting!$H$3</f>
        <v>4.0819831984870802</v>
      </c>
      <c r="J377" s="64">
        <f>'Arbeidsark-K'!AB378*Vekting!$I$3</f>
        <v>0.1477307034027959</v>
      </c>
      <c r="K377" s="64">
        <f>'Arbeidsark-K'!AC378*Vekting!$J$3</f>
        <v>3.1844940575363765</v>
      </c>
      <c r="L377" s="63">
        <f t="shared" si="5"/>
        <v>25.308027626090823</v>
      </c>
      <c r="M377" s="65" t="s">
        <v>820</v>
      </c>
    </row>
    <row r="378" spans="1:13" x14ac:dyDescent="0.25">
      <c r="A378" s="66" t="s">
        <v>326</v>
      </c>
      <c r="B378" s="66">
        <v>377</v>
      </c>
      <c r="C378" s="64">
        <f>'Arbeidsark-K'!U379*Vekting!$B$3</f>
        <v>6</v>
      </c>
      <c r="D378" s="64">
        <f>'Arbeidsark-K'!V379*Vekting!$C$3</f>
        <v>0</v>
      </c>
      <c r="E378" s="64">
        <f>'Arbeidsark-K'!W379*Vekting!$D$3</f>
        <v>0.97859488282139184</v>
      </c>
      <c r="F378" s="64">
        <f>'Arbeidsark-K'!X379*Vekting!$E$3</f>
        <v>10.691200232605029</v>
      </c>
      <c r="G378" s="64">
        <f>'Arbeidsark-K'!Y379*Vekting!$F$3</f>
        <v>3.5102554292949053</v>
      </c>
      <c r="H378" s="64">
        <f>'Arbeidsark-K'!Z379*Vekting!$G$3</f>
        <v>4.0098512249507641</v>
      </c>
      <c r="I378" s="64">
        <f>'Arbeidsark-K'!AA379*Vekting!$H$3</f>
        <v>3.431689643515921</v>
      </c>
      <c r="J378" s="64">
        <f>'Arbeidsark-K'!AB379*Vekting!$I$3</f>
        <v>3.4149899134339039</v>
      </c>
      <c r="K378" s="64">
        <f>'Arbeidsark-K'!AC379*Vekting!$J$3</f>
        <v>4.9172498056203491</v>
      </c>
      <c r="L378" s="63">
        <f t="shared" si="5"/>
        <v>36.953831132242264</v>
      </c>
      <c r="M378" s="65" t="s">
        <v>821</v>
      </c>
    </row>
    <row r="379" spans="1:13" x14ac:dyDescent="0.25">
      <c r="A379" s="66" t="s">
        <v>327</v>
      </c>
      <c r="B379" s="66">
        <v>378</v>
      </c>
      <c r="C379" s="64">
        <f>'Arbeidsark-K'!U380*Vekting!$B$3</f>
        <v>4</v>
      </c>
      <c r="D379" s="64">
        <f>'Arbeidsark-K'!V380*Vekting!$C$3</f>
        <v>2.0496871413232642</v>
      </c>
      <c r="E379" s="64">
        <f>'Arbeidsark-K'!W380*Vekting!$D$3</f>
        <v>0.46469045877092019</v>
      </c>
      <c r="F379" s="64">
        <f>'Arbeidsark-K'!X380*Vekting!$E$3</f>
        <v>0.61741407024965733</v>
      </c>
      <c r="G379" s="64">
        <f>'Arbeidsark-K'!Y380*Vekting!$F$3</f>
        <v>1.3101246250501752</v>
      </c>
      <c r="H379" s="64">
        <f>'Arbeidsark-K'!Z380*Vekting!$G$3</f>
        <v>0.46854988410687226</v>
      </c>
      <c r="I379" s="64">
        <f>'Arbeidsark-K'!AA380*Vekting!$H$3</f>
        <v>0</v>
      </c>
      <c r="J379" s="64">
        <f>'Arbeidsark-K'!AB380*Vekting!$I$3</f>
        <v>1.1247228980593789</v>
      </c>
      <c r="K379" s="64">
        <f>'Arbeidsark-K'!AC380*Vekting!$J$3</f>
        <v>2.4291902699100305</v>
      </c>
      <c r="L379" s="63">
        <f t="shared" si="5"/>
        <v>12.464379347470299</v>
      </c>
      <c r="M379" s="65" t="s">
        <v>822</v>
      </c>
    </row>
    <row r="380" spans="1:13" x14ac:dyDescent="0.25">
      <c r="A380" s="66" t="s">
        <v>328</v>
      </c>
      <c r="B380" s="66">
        <v>379</v>
      </c>
      <c r="C380" s="64">
        <f>'Arbeidsark-K'!U381*Vekting!$B$3</f>
        <v>0</v>
      </c>
      <c r="D380" s="64">
        <f>'Arbeidsark-K'!V381*Vekting!$C$3</f>
        <v>0</v>
      </c>
      <c r="E380" s="64">
        <f>'Arbeidsark-K'!W381*Vekting!$D$3</f>
        <v>0.58039232960488507</v>
      </c>
      <c r="F380" s="64">
        <f>'Arbeidsark-K'!X381*Vekting!$E$3</f>
        <v>0</v>
      </c>
      <c r="G380" s="64">
        <f>'Arbeidsark-K'!Y381*Vekting!$F$3</f>
        <v>2.0332088364376228</v>
      </c>
      <c r="H380" s="64">
        <f>'Arbeidsark-K'!Z381*Vekting!$G$3</f>
        <v>0</v>
      </c>
      <c r="I380" s="64">
        <f>'Arbeidsark-K'!AA381*Vekting!$H$3</f>
        <v>1.1526441178872262</v>
      </c>
      <c r="J380" s="64">
        <f>'Arbeidsark-K'!AB381*Vekting!$I$3</f>
        <v>0.84559939084305713</v>
      </c>
      <c r="K380" s="64">
        <f>'Arbeidsark-K'!AC381*Vekting!$J$3</f>
        <v>2.6291236254581807</v>
      </c>
      <c r="L380" s="63">
        <f t="shared" si="5"/>
        <v>7.2409683002309713</v>
      </c>
      <c r="M380" s="65" t="s">
        <v>578</v>
      </c>
    </row>
    <row r="381" spans="1:13" x14ac:dyDescent="0.25">
      <c r="A381" s="66" t="s">
        <v>329</v>
      </c>
      <c r="B381" s="66">
        <v>380</v>
      </c>
      <c r="C381" s="64">
        <f>'Arbeidsark-K'!U382*Vekting!$B$3</f>
        <v>14</v>
      </c>
      <c r="D381" s="64">
        <f>'Arbeidsark-K'!V382*Vekting!$C$3</f>
        <v>3.0473343902200964</v>
      </c>
      <c r="E381" s="64">
        <f>'Arbeidsark-K'!W382*Vekting!$D$3</f>
        <v>2.1106541769680733</v>
      </c>
      <c r="F381" s="64">
        <f>'Arbeidsark-K'!X382*Vekting!$E$3</f>
        <v>18.122208834031042</v>
      </c>
      <c r="G381" s="64">
        <f>'Arbeidsark-K'!Y382*Vekting!$F$3</f>
        <v>5</v>
      </c>
      <c r="H381" s="64">
        <f>'Arbeidsark-K'!Z382*Vekting!$G$3</f>
        <v>5</v>
      </c>
      <c r="I381" s="64">
        <f>'Arbeidsark-K'!AA382*Vekting!$H$3</f>
        <v>8.2835559384282256</v>
      </c>
      <c r="J381" s="64">
        <f>'Arbeidsark-K'!AB382*Vekting!$I$3</f>
        <v>4.6066221898213877</v>
      </c>
      <c r="K381" s="64">
        <f>'Arbeidsark-K'!AC382*Vekting!$J$3</f>
        <v>8.3494390758636019</v>
      </c>
      <c r="L381" s="63">
        <f t="shared" si="5"/>
        <v>68.519814605332428</v>
      </c>
      <c r="M381" s="65" t="s">
        <v>823</v>
      </c>
    </row>
    <row r="382" spans="1:13" x14ac:dyDescent="0.25">
      <c r="A382" s="66" t="s">
        <v>330</v>
      </c>
      <c r="B382" s="66">
        <v>381</v>
      </c>
      <c r="C382" s="64">
        <f>'Arbeidsark-K'!U383*Vekting!$B$3</f>
        <v>12</v>
      </c>
      <c r="D382" s="64">
        <f>'Arbeidsark-K'!V383*Vekting!$C$3</f>
        <v>2.2152885065247627</v>
      </c>
      <c r="E382" s="64">
        <f>'Arbeidsark-K'!W383*Vekting!$D$3</f>
        <v>4.0667388535972782</v>
      </c>
      <c r="F382" s="64">
        <f>'Arbeidsark-K'!X383*Vekting!$E$3</f>
        <v>8.541091881501222</v>
      </c>
      <c r="G382" s="64">
        <f>'Arbeidsark-K'!Y383*Vekting!$F$3</f>
        <v>4.1781350582474337</v>
      </c>
      <c r="H382" s="64">
        <f>'Arbeidsark-K'!Z383*Vekting!$G$3</f>
        <v>3.2434962526578026</v>
      </c>
      <c r="I382" s="64">
        <f>'Arbeidsark-K'!AA383*Vekting!$H$3</f>
        <v>4.9011828009575575</v>
      </c>
      <c r="J382" s="64">
        <f>'Arbeidsark-K'!AB383*Vekting!$I$3</f>
        <v>3.4213160377372436</v>
      </c>
      <c r="K382" s="64">
        <f>'Arbeidsark-K'!AC383*Vekting!$J$3</f>
        <v>6.0168832611351775</v>
      </c>
      <c r="L382" s="63">
        <f t="shared" si="5"/>
        <v>48.584132652358477</v>
      </c>
      <c r="M382" s="65" t="s">
        <v>824</v>
      </c>
    </row>
    <row r="383" spans="1:13" x14ac:dyDescent="0.25">
      <c r="A383" s="66" t="s">
        <v>331</v>
      </c>
      <c r="B383" s="66">
        <v>382</v>
      </c>
      <c r="C383" s="64">
        <f>'Arbeidsark-K'!U384*Vekting!$B$3</f>
        <v>12</v>
      </c>
      <c r="D383" s="64">
        <f>'Arbeidsark-K'!V384*Vekting!$C$3</f>
        <v>1.6673230135409427</v>
      </c>
      <c r="E383" s="64">
        <f>'Arbeidsark-K'!W384*Vekting!$D$3</f>
        <v>0.3413492823912691</v>
      </c>
      <c r="F383" s="64">
        <f>'Arbeidsark-K'!X384*Vekting!$E$3</f>
        <v>2.9452385029218306</v>
      </c>
      <c r="G383" s="64">
        <f>'Arbeidsark-K'!Y384*Vekting!$F$3</f>
        <v>2.8088702717284537</v>
      </c>
      <c r="H383" s="64">
        <f>'Arbeidsark-K'!Z384*Vekting!$G$3</f>
        <v>1.7875736642637863</v>
      </c>
      <c r="I383" s="64">
        <f>'Arbeidsark-K'!AA384*Vekting!$H$3</f>
        <v>0</v>
      </c>
      <c r="J383" s="64">
        <f>'Arbeidsark-K'!AB384*Vekting!$I$3</f>
        <v>2.4070872011176707</v>
      </c>
      <c r="K383" s="64">
        <f>'Arbeidsark-K'!AC384*Vekting!$J$3</f>
        <v>0</v>
      </c>
      <c r="L383" s="63">
        <f t="shared" si="5"/>
        <v>23.957441935963956</v>
      </c>
      <c r="M383" s="65" t="s">
        <v>825</v>
      </c>
    </row>
    <row r="384" spans="1:13" x14ac:dyDescent="0.25">
      <c r="A384" s="66" t="s">
        <v>332</v>
      </c>
      <c r="B384" s="66">
        <v>383</v>
      </c>
      <c r="C384" s="64">
        <f>'Arbeidsark-K'!U385*Vekting!$B$3</f>
        <v>12</v>
      </c>
      <c r="D384" s="64">
        <f>'Arbeidsark-K'!V385*Vekting!$C$3</f>
        <v>3.1913941144197739</v>
      </c>
      <c r="E384" s="64">
        <f>'Arbeidsark-K'!W385*Vekting!$D$3</f>
        <v>0.36610414180717615</v>
      </c>
      <c r="F384" s="64">
        <f>'Arbeidsark-K'!X385*Vekting!$E$3</f>
        <v>9.6285594617320172</v>
      </c>
      <c r="G384" s="64">
        <f>'Arbeidsark-K'!Y385*Vekting!$F$3</f>
        <v>0.86370372238903814</v>
      </c>
      <c r="H384" s="64">
        <f>'Arbeidsark-K'!Z385*Vekting!$G$3</f>
        <v>0.9342551236837906</v>
      </c>
      <c r="I384" s="64">
        <f>'Arbeidsark-K'!AA385*Vekting!$H$3</f>
        <v>3.8755648128945701</v>
      </c>
      <c r="J384" s="64">
        <f>'Arbeidsark-K'!AB385*Vekting!$I$3</f>
        <v>2.9700505829379882</v>
      </c>
      <c r="K384" s="64">
        <f>'Arbeidsark-K'!AC385*Vekting!$J$3</f>
        <v>2.351438409419083</v>
      </c>
      <c r="L384" s="63">
        <f t="shared" si="5"/>
        <v>36.181070369283432</v>
      </c>
      <c r="M384" s="65" t="s">
        <v>826</v>
      </c>
    </row>
    <row r="385" spans="1:13" x14ac:dyDescent="0.25">
      <c r="A385" s="66" t="s">
        <v>333</v>
      </c>
      <c r="B385" s="66">
        <v>384</v>
      </c>
      <c r="C385" s="64">
        <f>'Arbeidsark-K'!U386*Vekting!$B$3</f>
        <v>0</v>
      </c>
      <c r="D385" s="64">
        <f>'Arbeidsark-K'!V386*Vekting!$C$3</f>
        <v>0</v>
      </c>
      <c r="E385" s="64">
        <f>'Arbeidsark-K'!W386*Vekting!$D$3</f>
        <v>0.3381713383005604</v>
      </c>
      <c r="F385" s="64">
        <f>'Arbeidsark-K'!X386*Vekting!$E$3</f>
        <v>0</v>
      </c>
      <c r="G385" s="64">
        <f>'Arbeidsark-K'!Y386*Vekting!$F$3</f>
        <v>0</v>
      </c>
      <c r="H385" s="64">
        <f>'Arbeidsark-K'!Z386*Vekting!$G$3</f>
        <v>0</v>
      </c>
      <c r="I385" s="64">
        <f>'Arbeidsark-K'!AA386*Vekting!$H$3</f>
        <v>2.0703989086279893</v>
      </c>
      <c r="J385" s="64">
        <f>'Arbeidsark-K'!AB386*Vekting!$I$3</f>
        <v>5.7806995109704848</v>
      </c>
      <c r="K385" s="64">
        <f>'Arbeidsark-K'!AC386*Vekting!$J$3</f>
        <v>0.35210485393757696</v>
      </c>
      <c r="L385" s="63">
        <f t="shared" si="5"/>
        <v>8.541374611836611</v>
      </c>
      <c r="M385" s="65" t="s">
        <v>827</v>
      </c>
    </row>
    <row r="386" spans="1:13" x14ac:dyDescent="0.25">
      <c r="A386" s="66" t="s">
        <v>334</v>
      </c>
      <c r="B386" s="66">
        <v>385</v>
      </c>
      <c r="C386" s="64">
        <f>'Arbeidsark-K'!U387*Vekting!$B$3</f>
        <v>12</v>
      </c>
      <c r="D386" s="64">
        <f>'Arbeidsark-K'!V387*Vekting!$C$3</f>
        <v>1.4909508278385337</v>
      </c>
      <c r="E386" s="64">
        <f>'Arbeidsark-K'!W387*Vekting!$D$3</f>
        <v>0.17432735809735506</v>
      </c>
      <c r="F386" s="64">
        <f>'Arbeidsark-K'!X387*Vekting!$E$3</f>
        <v>0</v>
      </c>
      <c r="G386" s="64">
        <f>'Arbeidsark-K'!Y387*Vekting!$F$3</f>
        <v>0</v>
      </c>
      <c r="H386" s="64">
        <f>'Arbeidsark-K'!Z387*Vekting!$G$3</f>
        <v>0</v>
      </c>
      <c r="I386" s="64">
        <f>'Arbeidsark-K'!AA387*Vekting!$H$3</f>
        <v>10</v>
      </c>
      <c r="J386" s="64">
        <f>'Arbeidsark-K'!AB387*Vekting!$I$3</f>
        <v>1.5088754633614343</v>
      </c>
      <c r="K386" s="64">
        <f>'Arbeidsark-K'!AC387*Vekting!$J$3</f>
        <v>0</v>
      </c>
      <c r="L386" s="63">
        <f t="shared" ref="L386:L423" si="6">SUM(C386:K386)</f>
        <v>25.174153649297324</v>
      </c>
      <c r="M386" s="65" t="s">
        <v>828</v>
      </c>
    </row>
    <row r="387" spans="1:13" x14ac:dyDescent="0.25">
      <c r="A387" s="66" t="s">
        <v>335</v>
      </c>
      <c r="B387" s="66">
        <v>386</v>
      </c>
      <c r="C387" s="64">
        <f>'Arbeidsark-K'!U388*Vekting!$B$3</f>
        <v>0</v>
      </c>
      <c r="D387" s="64">
        <f>'Arbeidsark-K'!V388*Vekting!$C$3</f>
        <v>1.0197274309237006</v>
      </c>
      <c r="E387" s="64">
        <f>'Arbeidsark-K'!W388*Vekting!$D$3</f>
        <v>0.1730393960626273</v>
      </c>
      <c r="F387" s="64">
        <f>'Arbeidsark-K'!X388*Vekting!$E$3</f>
        <v>10.236876334728279</v>
      </c>
      <c r="G387" s="64">
        <f>'Arbeidsark-K'!Y388*Vekting!$F$3</f>
        <v>0</v>
      </c>
      <c r="H387" s="64">
        <f>'Arbeidsark-K'!Z388*Vekting!$G$3</f>
        <v>0.19960186568246918</v>
      </c>
      <c r="I387" s="64">
        <f>'Arbeidsark-K'!AA388*Vekting!$H$3</f>
        <v>5.0394677118361146</v>
      </c>
      <c r="J387" s="64">
        <f>'Arbeidsark-K'!AB388*Vekting!$I$3</f>
        <v>0</v>
      </c>
      <c r="K387" s="64">
        <f>'Arbeidsark-K'!AC388*Vekting!$J$3</f>
        <v>0</v>
      </c>
      <c r="L387" s="63">
        <f t="shared" si="6"/>
        <v>16.66871273923319</v>
      </c>
      <c r="M387" s="65" t="s">
        <v>829</v>
      </c>
    </row>
    <row r="388" spans="1:13" x14ac:dyDescent="0.25">
      <c r="A388" s="66" t="s">
        <v>336</v>
      </c>
      <c r="B388" s="66">
        <v>387</v>
      </c>
      <c r="C388" s="64">
        <f>'Arbeidsark-K'!U389*Vekting!$B$3</f>
        <v>4</v>
      </c>
      <c r="D388" s="64">
        <f>'Arbeidsark-K'!V389*Vekting!$C$3</f>
        <v>2.2422155577770391</v>
      </c>
      <c r="E388" s="64">
        <f>'Arbeidsark-K'!W389*Vekting!$D$3</f>
        <v>1.7268265021617425E-2</v>
      </c>
      <c r="F388" s="64">
        <f>'Arbeidsark-K'!X389*Vekting!$E$3</f>
        <v>6.3241291015931669</v>
      </c>
      <c r="G388" s="64">
        <f>'Arbeidsark-K'!Y389*Vekting!$F$3</f>
        <v>4.4927501022995546</v>
      </c>
      <c r="H388" s="64">
        <f>'Arbeidsark-K'!Z389*Vekting!$G$3</f>
        <v>2.9137867136234412</v>
      </c>
      <c r="I388" s="64">
        <f>'Arbeidsark-K'!AA389*Vekting!$H$3</f>
        <v>5.5572175397790859</v>
      </c>
      <c r="J388" s="64">
        <f>'Arbeidsark-K'!AB389*Vekting!$I$3</f>
        <v>8.8815025959447791</v>
      </c>
      <c r="K388" s="64">
        <f>'Arbeidsark-K'!AC389*Vekting!$J$3</f>
        <v>5.06164611796068</v>
      </c>
      <c r="L388" s="63">
        <f t="shared" si="6"/>
        <v>39.49051599399936</v>
      </c>
      <c r="M388" s="65" t="s">
        <v>830</v>
      </c>
    </row>
    <row r="389" spans="1:13" x14ac:dyDescent="0.25">
      <c r="A389" s="66" t="s">
        <v>337</v>
      </c>
      <c r="B389" s="66">
        <v>388</v>
      </c>
      <c r="C389" s="64">
        <f>'Arbeidsark-K'!U390*Vekting!$B$3</f>
        <v>0</v>
      </c>
      <c r="D389" s="64">
        <f>'Arbeidsark-K'!V390*Vekting!$C$3</f>
        <v>1.2189876101905444</v>
      </c>
      <c r="E389" s="64">
        <f>'Arbeidsark-K'!W390*Vekting!$D$3</f>
        <v>0.26846975849302623</v>
      </c>
      <c r="F389" s="64">
        <f>'Arbeidsark-K'!X390*Vekting!$E$3</f>
        <v>4.2345357140566993</v>
      </c>
      <c r="G389" s="64">
        <f>'Arbeidsark-K'!Y390*Vekting!$F$3</f>
        <v>0</v>
      </c>
      <c r="H389" s="64">
        <f>'Arbeidsark-K'!Z390*Vekting!$G$3</f>
        <v>1.7036950497856935</v>
      </c>
      <c r="I389" s="64">
        <f>'Arbeidsark-K'!AA390*Vekting!$H$3</f>
        <v>5.8353881816864783</v>
      </c>
      <c r="J389" s="64">
        <f>'Arbeidsark-K'!AB390*Vekting!$I$3</f>
        <v>4.5148024284560186</v>
      </c>
      <c r="K389" s="64">
        <f>'Arbeidsark-K'!AC390*Vekting!$J$3</f>
        <v>0</v>
      </c>
      <c r="L389" s="63">
        <f t="shared" si="6"/>
        <v>17.775878742668461</v>
      </c>
      <c r="M389" s="65" t="s">
        <v>831</v>
      </c>
    </row>
    <row r="390" spans="1:13" x14ac:dyDescent="0.25">
      <c r="A390" s="66" t="s">
        <v>338</v>
      </c>
      <c r="B390" s="66">
        <v>389</v>
      </c>
      <c r="C390" s="64">
        <f>'Arbeidsark-K'!U391*Vekting!$B$3</f>
        <v>4</v>
      </c>
      <c r="D390" s="64">
        <f>'Arbeidsark-K'!V391*Vekting!$C$3</f>
        <v>2.7928737558860868</v>
      </c>
      <c r="E390" s="64">
        <f>'Arbeidsark-K'!W391*Vekting!$D$3</f>
        <v>5.9118683460559401E-2</v>
      </c>
      <c r="F390" s="64">
        <f>'Arbeidsark-K'!X391*Vekting!$E$3</f>
        <v>7.1947902039326159</v>
      </c>
      <c r="G390" s="64">
        <f>'Arbeidsark-K'!Y391*Vekting!$F$3</f>
        <v>3.5109891953338477</v>
      </c>
      <c r="H390" s="64">
        <f>'Arbeidsark-K'!Z391*Vekting!$G$3</f>
        <v>3.1922500848752859</v>
      </c>
      <c r="I390" s="64">
        <f>'Arbeidsark-K'!AA391*Vekting!$H$3</f>
        <v>4.3373645592842678</v>
      </c>
      <c r="J390" s="64">
        <f>'Arbeidsark-K'!AB391*Vekting!$I$3</f>
        <v>8.5649431340648743</v>
      </c>
      <c r="K390" s="64">
        <f>'Arbeidsark-K'!AC391*Vekting!$J$3</f>
        <v>7.6718871487282021</v>
      </c>
      <c r="L390" s="63">
        <f t="shared" si="6"/>
        <v>41.324216765565744</v>
      </c>
      <c r="M390" s="65" t="s">
        <v>832</v>
      </c>
    </row>
    <row r="391" spans="1:13" x14ac:dyDescent="0.25">
      <c r="A391" s="66" t="s">
        <v>339</v>
      </c>
      <c r="B391" s="66">
        <v>390</v>
      </c>
      <c r="C391" s="64">
        <f>'Arbeidsark-K'!U392*Vekting!$B$3</f>
        <v>6</v>
      </c>
      <c r="D391" s="64">
        <f>'Arbeidsark-K'!V392*Vekting!$C$3</f>
        <v>2.3714654037879646</v>
      </c>
      <c r="E391" s="64">
        <f>'Arbeidsark-K'!W392*Vekting!$D$3</f>
        <v>0.62860656653082003</v>
      </c>
      <c r="F391" s="64">
        <f>'Arbeidsark-K'!X392*Vekting!$E$3</f>
        <v>9.4018212904856888</v>
      </c>
      <c r="G391" s="64">
        <f>'Arbeidsark-K'!Y392*Vekting!$F$3</f>
        <v>2.6689242080282187</v>
      </c>
      <c r="H391" s="64">
        <f>'Arbeidsark-K'!Z392*Vekting!$G$3</f>
        <v>3.2043618722789335</v>
      </c>
      <c r="I391" s="64">
        <f>'Arbeidsark-K'!AA392*Vekting!$H$3</f>
        <v>3.237969895659214</v>
      </c>
      <c r="J391" s="64">
        <f>'Arbeidsark-K'!AB392*Vekting!$I$3</f>
        <v>3.706891584970732</v>
      </c>
      <c r="K391" s="64">
        <f>'Arbeidsark-K'!AC392*Vekting!$J$3</f>
        <v>5.0394313006775526</v>
      </c>
      <c r="L391" s="63">
        <f t="shared" si="6"/>
        <v>36.259472122419126</v>
      </c>
      <c r="M391" s="65" t="s">
        <v>833</v>
      </c>
    </row>
    <row r="392" spans="1:13" x14ac:dyDescent="0.25">
      <c r="A392" s="66" t="s">
        <v>340</v>
      </c>
      <c r="B392" s="66">
        <v>391</v>
      </c>
      <c r="C392" s="64">
        <f>'Arbeidsark-K'!U393*Vekting!$B$3</f>
        <v>6</v>
      </c>
      <c r="D392" s="64">
        <f>'Arbeidsark-K'!V393*Vekting!$C$3</f>
        <v>1.3320812254501044</v>
      </c>
      <c r="E392" s="64">
        <f>'Arbeidsark-K'!W393*Vekting!$D$3</f>
        <v>0.20112458854275134</v>
      </c>
      <c r="F392" s="64">
        <f>'Arbeidsark-K'!X393*Vekting!$E$3</f>
        <v>0</v>
      </c>
      <c r="G392" s="64">
        <f>'Arbeidsark-K'!Y393*Vekting!$F$3</f>
        <v>0</v>
      </c>
      <c r="H392" s="64">
        <f>'Arbeidsark-K'!Z393*Vekting!$G$3</f>
        <v>0</v>
      </c>
      <c r="I392" s="64">
        <f>'Arbeidsark-K'!AA393*Vekting!$H$3</f>
        <v>0</v>
      </c>
      <c r="J392" s="64">
        <f>'Arbeidsark-K'!AB393*Vekting!$I$3</f>
        <v>1.2851755905562756</v>
      </c>
      <c r="K392" s="64">
        <f>'Arbeidsark-K'!AC393*Vekting!$J$3</f>
        <v>0.16327890703098974</v>
      </c>
      <c r="L392" s="63">
        <f t="shared" si="6"/>
        <v>8.9816603115801215</v>
      </c>
      <c r="M392" s="65" t="s">
        <v>834</v>
      </c>
    </row>
    <row r="393" spans="1:13" x14ac:dyDescent="0.25">
      <c r="A393" s="66" t="s">
        <v>341</v>
      </c>
      <c r="B393" s="66">
        <v>392</v>
      </c>
      <c r="C393" s="64">
        <f>'Arbeidsark-K'!U394*Vekting!$B$3</f>
        <v>6</v>
      </c>
      <c r="D393" s="64">
        <f>'Arbeidsark-K'!V394*Vekting!$C$3</f>
        <v>0.8958629951632302</v>
      </c>
      <c r="E393" s="64">
        <f>'Arbeidsark-K'!W394*Vekting!$D$3</f>
        <v>0.12627103921129504</v>
      </c>
      <c r="F393" s="64">
        <f>'Arbeidsark-K'!X394*Vekting!$E$3</f>
        <v>3.0514612886751138</v>
      </c>
      <c r="G393" s="64">
        <f>'Arbeidsark-K'!Y394*Vekting!$F$3</f>
        <v>0.13105877806830435</v>
      </c>
      <c r="H393" s="64">
        <f>'Arbeidsark-K'!Z394*Vekting!$G$3</f>
        <v>0</v>
      </c>
      <c r="I393" s="64">
        <f>'Arbeidsark-K'!AA394*Vekting!$H$3</f>
        <v>0</v>
      </c>
      <c r="J393" s="64">
        <f>'Arbeidsark-K'!AB394*Vekting!$I$3</f>
        <v>3.5302118232454136</v>
      </c>
      <c r="K393" s="64">
        <f>'Arbeidsark-K'!AC394*Vekting!$J$3</f>
        <v>0.64089747861823843</v>
      </c>
      <c r="L393" s="63">
        <f t="shared" si="6"/>
        <v>14.375763402981594</v>
      </c>
      <c r="M393" s="65" t="s">
        <v>835</v>
      </c>
    </row>
    <row r="394" spans="1:13" x14ac:dyDescent="0.25">
      <c r="A394" s="66" t="s">
        <v>342</v>
      </c>
      <c r="B394" s="66">
        <v>393</v>
      </c>
      <c r="C394" s="64">
        <f>'Arbeidsark-K'!U395*Vekting!$B$3</f>
        <v>0</v>
      </c>
      <c r="D394" s="64">
        <f>'Arbeidsark-K'!V395*Vekting!$C$3</f>
        <v>0</v>
      </c>
      <c r="E394" s="64">
        <f>'Arbeidsark-K'!W395*Vekting!$D$3</f>
        <v>0.18916913935983645</v>
      </c>
      <c r="F394" s="64">
        <f>'Arbeidsark-K'!X395*Vekting!$E$3</f>
        <v>0</v>
      </c>
      <c r="G394" s="64">
        <f>'Arbeidsark-K'!Y395*Vekting!$F$3</f>
        <v>0.31355924544279434</v>
      </c>
      <c r="H394" s="64">
        <f>'Arbeidsark-K'!Z395*Vekting!$G$3</f>
        <v>0</v>
      </c>
      <c r="I394" s="64">
        <f>'Arbeidsark-K'!AA395*Vekting!$H$3</f>
        <v>2.5561262804587574</v>
      </c>
      <c r="J394" s="64">
        <f>'Arbeidsark-K'!AB395*Vekting!$I$3</f>
        <v>1.4371636200537978</v>
      </c>
      <c r="K394" s="64">
        <f>'Arbeidsark-K'!AC395*Vekting!$J$3</f>
        <v>0</v>
      </c>
      <c r="L394" s="63">
        <f t="shared" si="6"/>
        <v>4.496018285315186</v>
      </c>
      <c r="M394" s="65" t="s">
        <v>836</v>
      </c>
    </row>
    <row r="395" spans="1:13" x14ac:dyDescent="0.25">
      <c r="A395" s="66" t="s">
        <v>343</v>
      </c>
      <c r="B395" s="66">
        <v>394</v>
      </c>
      <c r="C395" s="64">
        <f>'Arbeidsark-K'!U396*Vekting!$B$3</f>
        <v>0</v>
      </c>
      <c r="D395" s="64">
        <f>'Arbeidsark-K'!V396*Vekting!$C$3</f>
        <v>0</v>
      </c>
      <c r="E395" s="64">
        <f>'Arbeidsark-K'!W396*Vekting!$D$3</f>
        <v>0.13896706688439905</v>
      </c>
      <c r="F395" s="64">
        <f>'Arbeidsark-K'!X396*Vekting!$E$3</f>
        <v>0.39894219526381108</v>
      </c>
      <c r="G395" s="64">
        <f>'Arbeidsark-K'!Y396*Vekting!$F$3</f>
        <v>3.4412258985653446</v>
      </c>
      <c r="H395" s="64">
        <f>'Arbeidsark-K'!Z396*Vekting!$G$3</f>
        <v>1.1123156314475293</v>
      </c>
      <c r="I395" s="64">
        <f>'Arbeidsark-K'!AA396*Vekting!$H$3</f>
        <v>8.447441406525698</v>
      </c>
      <c r="J395" s="64">
        <f>'Arbeidsark-K'!AB396*Vekting!$I$3</f>
        <v>2.2083224724757544</v>
      </c>
      <c r="K395" s="64">
        <f>'Arbeidsark-K'!AC396*Vekting!$J$3</f>
        <v>1.274019771187382</v>
      </c>
      <c r="L395" s="63">
        <f t="shared" si="6"/>
        <v>17.021234442349918</v>
      </c>
      <c r="M395" s="65" t="s">
        <v>837</v>
      </c>
    </row>
    <row r="396" spans="1:13" x14ac:dyDescent="0.25">
      <c r="A396" s="66" t="s">
        <v>344</v>
      </c>
      <c r="B396" s="66">
        <v>395</v>
      </c>
      <c r="C396" s="64">
        <f>'Arbeidsark-K'!U397*Vekting!$B$3</f>
        <v>6</v>
      </c>
      <c r="D396" s="64">
        <f>'Arbeidsark-K'!V397*Vekting!$C$3</f>
        <v>1.6444350199765081</v>
      </c>
      <c r="E396" s="64">
        <f>'Arbeidsark-K'!W397*Vekting!$D$3</f>
        <v>0.88375760532291148</v>
      </c>
      <c r="F396" s="64">
        <f>'Arbeidsark-K'!X397*Vekting!$E$3</f>
        <v>9.9325057981460247</v>
      </c>
      <c r="G396" s="64">
        <f>'Arbeidsark-K'!Y397*Vekting!$F$3</f>
        <v>2.8253863372486268</v>
      </c>
      <c r="H396" s="64">
        <f>'Arbeidsark-K'!Z397*Vekting!$G$3</f>
        <v>3.715272079059313</v>
      </c>
      <c r="I396" s="64">
        <f>'Arbeidsark-K'!AA397*Vekting!$H$3</f>
        <v>8.4810682995518025</v>
      </c>
      <c r="J396" s="64">
        <f>'Arbeidsark-K'!AB397*Vekting!$I$3</f>
        <v>3.6649790234249844</v>
      </c>
      <c r="K396" s="64">
        <f>'Arbeidsark-K'!AC397*Vekting!$J$3</f>
        <v>4.8506053537709661</v>
      </c>
      <c r="L396" s="63">
        <f t="shared" si="6"/>
        <v>41.998009516501135</v>
      </c>
      <c r="M396" s="65" t="s">
        <v>838</v>
      </c>
    </row>
    <row r="397" spans="1:13" x14ac:dyDescent="0.25">
      <c r="A397" s="66" t="s">
        <v>345</v>
      </c>
      <c r="B397" s="66">
        <v>396</v>
      </c>
      <c r="C397" s="64">
        <f>'Arbeidsark-K'!U398*Vekting!$B$3</f>
        <v>12</v>
      </c>
      <c r="D397" s="64">
        <f>'Arbeidsark-K'!V398*Vekting!$C$3</f>
        <v>1.5448049303430862</v>
      </c>
      <c r="E397" s="64">
        <f>'Arbeidsark-K'!W398*Vekting!$D$3</f>
        <v>0.19023042415739441</v>
      </c>
      <c r="F397" s="64">
        <f>'Arbeidsark-K'!X398*Vekting!$E$3</f>
        <v>6.4923071493964901</v>
      </c>
      <c r="G397" s="64">
        <f>'Arbeidsark-K'!Y398*Vekting!$F$3</f>
        <v>0.94834856428375081</v>
      </c>
      <c r="H397" s="64">
        <f>'Arbeidsark-K'!Z398*Vekting!$G$3</f>
        <v>0.61601934996070207</v>
      </c>
      <c r="I397" s="64">
        <f>'Arbeidsark-K'!AA398*Vekting!$H$3</f>
        <v>5.6273727494749179</v>
      </c>
      <c r="J397" s="64">
        <f>'Arbeidsark-K'!AB398*Vekting!$I$3</f>
        <v>5.6697526134740652</v>
      </c>
      <c r="K397" s="64">
        <f>'Arbeidsark-K'!AC398*Vekting!$J$3</f>
        <v>1.0963012329223589</v>
      </c>
      <c r="L397" s="63">
        <f t="shared" si="6"/>
        <v>34.185137014012767</v>
      </c>
      <c r="M397" s="65" t="s">
        <v>839</v>
      </c>
    </row>
    <row r="398" spans="1:13" x14ac:dyDescent="0.25">
      <c r="A398" s="66" t="s">
        <v>346</v>
      </c>
      <c r="B398" s="66">
        <v>397</v>
      </c>
      <c r="C398" s="64">
        <f>'Arbeidsark-K'!U399*Vekting!$B$3</f>
        <v>14</v>
      </c>
      <c r="D398" s="64">
        <f>'Arbeidsark-K'!V399*Vekting!$C$3</f>
        <v>1.1058939949309845</v>
      </c>
      <c r="E398" s="64">
        <f>'Arbeidsark-K'!W399*Vekting!$D$3</f>
        <v>6.2370231735519616E-2</v>
      </c>
      <c r="F398" s="64">
        <f>'Arbeidsark-K'!X399*Vekting!$E$3</f>
        <v>2.0880918385346718</v>
      </c>
      <c r="G398" s="64">
        <f>'Arbeidsark-K'!Y399*Vekting!$F$3</f>
        <v>1.3723223270657812</v>
      </c>
      <c r="H398" s="64">
        <f>'Arbeidsark-K'!Z399*Vekting!$G$3</f>
        <v>0</v>
      </c>
      <c r="I398" s="64">
        <f>'Arbeidsark-K'!AA399*Vekting!$H$3</f>
        <v>2.8048959536138129</v>
      </c>
      <c r="J398" s="64">
        <f>'Arbeidsark-K'!AB399*Vekting!$I$3</f>
        <v>3.1886479636676301</v>
      </c>
      <c r="K398" s="64">
        <f>'Arbeidsark-K'!AC399*Vekting!$J$3</f>
        <v>1.3628790403198936</v>
      </c>
      <c r="L398" s="63">
        <f t="shared" si="6"/>
        <v>25.985101349868291</v>
      </c>
      <c r="M398" s="65" t="s">
        <v>840</v>
      </c>
    </row>
    <row r="399" spans="1:13" x14ac:dyDescent="0.25">
      <c r="A399" s="66" t="s">
        <v>347</v>
      </c>
      <c r="B399" s="66">
        <v>398</v>
      </c>
      <c r="C399" s="64">
        <f>'Arbeidsark-K'!U400*Vekting!$B$3</f>
        <v>0</v>
      </c>
      <c r="D399" s="64">
        <f>'Arbeidsark-K'!V400*Vekting!$C$3</f>
        <v>0</v>
      </c>
      <c r="E399" s="64">
        <f>'Arbeidsark-K'!W400*Vekting!$D$3</f>
        <v>0.1709722735612445</v>
      </c>
      <c r="F399" s="64">
        <f>'Arbeidsark-K'!X400*Vekting!$E$3</f>
        <v>0</v>
      </c>
      <c r="G399" s="64">
        <f>'Arbeidsark-K'!Y400*Vekting!$F$3</f>
        <v>0</v>
      </c>
      <c r="H399" s="64">
        <f>'Arbeidsark-K'!Z400*Vekting!$G$3</f>
        <v>0</v>
      </c>
      <c r="I399" s="64">
        <f>'Arbeidsark-K'!AA400*Vekting!$H$3</f>
        <v>0.56112311265667358</v>
      </c>
      <c r="J399" s="64">
        <f>'Arbeidsark-K'!AB400*Vekting!$I$3</f>
        <v>5.102025875306345</v>
      </c>
      <c r="K399" s="64">
        <f>'Arbeidsark-K'!AC400*Vekting!$J$3</f>
        <v>1.8738198378318345</v>
      </c>
      <c r="L399" s="63">
        <f t="shared" si="6"/>
        <v>7.7079410993560975</v>
      </c>
      <c r="M399" s="65" t="s">
        <v>841</v>
      </c>
    </row>
    <row r="400" spans="1:13" x14ac:dyDescent="0.25">
      <c r="A400" s="66" t="s">
        <v>348</v>
      </c>
      <c r="B400" s="66">
        <v>399</v>
      </c>
      <c r="C400" s="64">
        <f>'Arbeidsark-K'!U401*Vekting!$B$3</f>
        <v>2</v>
      </c>
      <c r="D400" s="64">
        <f>'Arbeidsark-K'!V401*Vekting!$C$3</f>
        <v>0.44887394437544581</v>
      </c>
      <c r="E400" s="64">
        <f>'Arbeidsark-K'!W401*Vekting!$D$3</f>
        <v>0</v>
      </c>
      <c r="F400" s="64">
        <f>'Arbeidsark-K'!X401*Vekting!$E$3</f>
        <v>3.7509766157977795</v>
      </c>
      <c r="G400" s="64">
        <f>'Arbeidsark-K'!Y401*Vekting!$F$3</f>
        <v>1.1220239009140038</v>
      </c>
      <c r="H400" s="64">
        <f>'Arbeidsark-K'!Z401*Vekting!$G$3</f>
        <v>1.98402935557382</v>
      </c>
      <c r="I400" s="64">
        <f>'Arbeidsark-K'!AA401*Vekting!$H$3</f>
        <v>6.4032965997544666</v>
      </c>
      <c r="J400" s="64">
        <f>'Arbeidsark-K'!AB401*Vekting!$I$3</f>
        <v>3.0087054422748807</v>
      </c>
      <c r="K400" s="64">
        <f>'Arbeidsark-K'!AC401*Vekting!$J$3</f>
        <v>0.42985671442852436</v>
      </c>
      <c r="L400" s="63">
        <f t="shared" si="6"/>
        <v>19.147762573118921</v>
      </c>
      <c r="M400" s="65" t="s">
        <v>842</v>
      </c>
    </row>
    <row r="401" spans="1:13" x14ac:dyDescent="0.25">
      <c r="A401" s="66" t="s">
        <v>349</v>
      </c>
      <c r="B401" s="66">
        <v>400</v>
      </c>
      <c r="C401" s="64">
        <f>'Arbeidsark-K'!U402*Vekting!$B$3</f>
        <v>0</v>
      </c>
      <c r="D401" s="64">
        <f>'Arbeidsark-K'!V402*Vekting!$C$3</f>
        <v>0</v>
      </c>
      <c r="E401" s="64">
        <f>'Arbeidsark-K'!W402*Vekting!$D$3</f>
        <v>6.7489583265351885E-2</v>
      </c>
      <c r="F401" s="64">
        <f>'Arbeidsark-K'!X402*Vekting!$E$3</f>
        <v>1.2825828211348496</v>
      </c>
      <c r="G401" s="64">
        <f>'Arbeidsark-K'!Y402*Vekting!$F$3</f>
        <v>0.88565247548707049</v>
      </c>
      <c r="H401" s="64">
        <f>'Arbeidsark-K'!Z402*Vekting!$G$3</f>
        <v>0</v>
      </c>
      <c r="I401" s="64">
        <f>'Arbeidsark-K'!AA402*Vekting!$H$3</f>
        <v>5.5594547786504043</v>
      </c>
      <c r="J401" s="64">
        <f>'Arbeidsark-K'!AB402*Vekting!$I$3</f>
        <v>3.2893769642516348</v>
      </c>
      <c r="K401" s="64">
        <f>'Arbeidsark-K'!AC402*Vekting!$J$3</f>
        <v>0</v>
      </c>
      <c r="L401" s="63">
        <f t="shared" si="6"/>
        <v>11.084556622789311</v>
      </c>
      <c r="M401" s="65" t="s">
        <v>843</v>
      </c>
    </row>
    <row r="402" spans="1:13" x14ac:dyDescent="0.25">
      <c r="A402" s="66" t="s">
        <v>350</v>
      </c>
      <c r="B402" s="66">
        <v>401</v>
      </c>
      <c r="C402" s="64">
        <f>'Arbeidsark-K'!U403*Vekting!$B$3</f>
        <v>4</v>
      </c>
      <c r="D402" s="64">
        <f>'Arbeidsark-K'!V403*Vekting!$C$3</f>
        <v>0</v>
      </c>
      <c r="E402" s="64">
        <f>'Arbeidsark-K'!W403*Vekting!$D$3</f>
        <v>0.36534205808926146</v>
      </c>
      <c r="F402" s="64">
        <f>'Arbeidsark-K'!X403*Vekting!$E$3</f>
        <v>3.1291680451409976</v>
      </c>
      <c r="G402" s="64">
        <f>'Arbeidsark-K'!Y403*Vekting!$F$3</f>
        <v>3.7262391978598419</v>
      </c>
      <c r="H402" s="64">
        <f>'Arbeidsark-K'!Z403*Vekting!$G$3</f>
        <v>1.5643769678368402</v>
      </c>
      <c r="I402" s="64">
        <f>'Arbeidsark-K'!AA403*Vekting!$H$3</f>
        <v>5.3695023789647331</v>
      </c>
      <c r="J402" s="64">
        <f>'Arbeidsark-K'!AB403*Vekting!$I$3</f>
        <v>3.187197848616012</v>
      </c>
      <c r="K402" s="64">
        <f>'Arbeidsark-K'!AC403*Vekting!$J$3</f>
        <v>1.9293568810396537</v>
      </c>
      <c r="L402" s="63">
        <f t="shared" si="6"/>
        <v>23.271183377547338</v>
      </c>
      <c r="M402" s="65" t="s">
        <v>844</v>
      </c>
    </row>
    <row r="403" spans="1:13" x14ac:dyDescent="0.25">
      <c r="A403" s="66" t="s">
        <v>351</v>
      </c>
      <c r="B403" s="66">
        <v>402</v>
      </c>
      <c r="C403" s="64">
        <f>'Arbeidsark-K'!U404*Vekting!$B$3</f>
        <v>4</v>
      </c>
      <c r="D403" s="64">
        <f>'Arbeidsark-K'!V404*Vekting!$C$3</f>
        <v>0.52965509813227429</v>
      </c>
      <c r="E403" s="64">
        <f>'Arbeidsark-K'!W404*Vekting!$D$3</f>
        <v>1.3829566167257213E-2</v>
      </c>
      <c r="F403" s="64">
        <f>'Arbeidsark-K'!X404*Vekting!$E$3</f>
        <v>8.7313780608406955</v>
      </c>
      <c r="G403" s="64">
        <f>'Arbeidsark-K'!Y404*Vekting!$F$3</f>
        <v>2.8109742317928128</v>
      </c>
      <c r="H403" s="64">
        <f>'Arbeidsark-K'!Z404*Vekting!$G$3</f>
        <v>2.6542558309785385</v>
      </c>
      <c r="I403" s="64">
        <f>'Arbeidsark-K'!AA404*Vekting!$H$3</f>
        <v>2.7446648018152175</v>
      </c>
      <c r="J403" s="64">
        <f>'Arbeidsark-K'!AB404*Vekting!$I$3</f>
        <v>2.4517823504069001</v>
      </c>
      <c r="K403" s="64">
        <f>'Arbeidsark-K'!AC404*Vekting!$J$3</f>
        <v>1.8960346551149614</v>
      </c>
      <c r="L403" s="63">
        <f t="shared" si="6"/>
        <v>25.832574595248659</v>
      </c>
      <c r="M403" s="65" t="s">
        <v>845</v>
      </c>
    </row>
    <row r="404" spans="1:13" x14ac:dyDescent="0.25">
      <c r="A404" s="66" t="s">
        <v>352</v>
      </c>
      <c r="B404" s="66">
        <v>403</v>
      </c>
      <c r="C404" s="64">
        <f>'Arbeidsark-K'!U405*Vekting!$B$3</f>
        <v>0</v>
      </c>
      <c r="D404" s="64">
        <f>'Arbeidsark-K'!V405*Vekting!$C$3</f>
        <v>0</v>
      </c>
      <c r="E404" s="64">
        <f>'Arbeidsark-K'!W405*Vekting!$D$3</f>
        <v>0</v>
      </c>
      <c r="F404" s="64">
        <f>'Arbeidsark-K'!X405*Vekting!$E$3</f>
        <v>0</v>
      </c>
      <c r="G404" s="64">
        <f>'Arbeidsark-K'!Y405*Vekting!$F$3</f>
        <v>0.33553922873972158</v>
      </c>
      <c r="H404" s="64">
        <f>'Arbeidsark-K'!Z405*Vekting!$G$3</f>
        <v>0</v>
      </c>
      <c r="I404" s="64">
        <f>'Arbeidsark-K'!AA405*Vekting!$H$3</f>
        <v>0</v>
      </c>
      <c r="J404" s="64">
        <f>'Arbeidsark-K'!AB405*Vekting!$I$3</f>
        <v>1.6717020722695282</v>
      </c>
      <c r="K404" s="64">
        <f>'Arbeidsark-K'!AC405*Vekting!$J$3</f>
        <v>1.0851938242807948</v>
      </c>
      <c r="L404" s="63">
        <f t="shared" si="6"/>
        <v>3.0924351252900442</v>
      </c>
      <c r="M404" s="65" t="s">
        <v>846</v>
      </c>
    </row>
    <row r="405" spans="1:13" x14ac:dyDescent="0.25">
      <c r="A405" s="66" t="s">
        <v>353</v>
      </c>
      <c r="B405" s="66">
        <v>404</v>
      </c>
      <c r="C405" s="64">
        <f>'Arbeidsark-K'!U406*Vekting!$B$3</f>
        <v>0</v>
      </c>
      <c r="D405" s="64">
        <f>'Arbeidsark-K'!V406*Vekting!$C$3</f>
        <v>0</v>
      </c>
      <c r="E405" s="64">
        <f>'Arbeidsark-K'!W406*Vekting!$D$3</f>
        <v>0.16826489353137788</v>
      </c>
      <c r="F405" s="64">
        <f>'Arbeidsark-K'!X406*Vekting!$E$3</f>
        <v>0</v>
      </c>
      <c r="G405" s="64">
        <f>'Arbeidsark-K'!Y406*Vekting!$F$3</f>
        <v>1.3693123056369978</v>
      </c>
      <c r="H405" s="64">
        <f>'Arbeidsark-K'!Z406*Vekting!$G$3</f>
        <v>1.5445893022824733</v>
      </c>
      <c r="I405" s="64">
        <f>'Arbeidsark-K'!AA406*Vekting!$H$3</f>
        <v>3.2102419582265087</v>
      </c>
      <c r="J405" s="64">
        <f>'Arbeidsark-K'!AB406*Vekting!$I$3</f>
        <v>0</v>
      </c>
      <c r="K405" s="64">
        <f>'Arbeidsark-K'!AC406*Vekting!$J$3</f>
        <v>2.9990003332223125E-2</v>
      </c>
      <c r="L405" s="63">
        <f t="shared" si="6"/>
        <v>6.3223984630095806</v>
      </c>
      <c r="M405" s="65" t="s">
        <v>847</v>
      </c>
    </row>
    <row r="406" spans="1:13" x14ac:dyDescent="0.25">
      <c r="A406" s="66" t="s">
        <v>354</v>
      </c>
      <c r="B406" s="66">
        <v>405</v>
      </c>
      <c r="C406" s="64">
        <f>'Arbeidsark-K'!U407*Vekting!$B$3</f>
        <v>8</v>
      </c>
      <c r="D406" s="64">
        <f>'Arbeidsark-K'!V407*Vekting!$C$3</f>
        <v>0</v>
      </c>
      <c r="E406" s="64">
        <f>'Arbeidsark-K'!W407*Vekting!$D$3</f>
        <v>0.27181835879846544</v>
      </c>
      <c r="F406" s="64">
        <f>'Arbeidsark-K'!X407*Vekting!$E$3</f>
        <v>5.1197868183023507</v>
      </c>
      <c r="G406" s="64">
        <f>'Arbeidsark-K'!Y407*Vekting!$F$3</f>
        <v>2.7823506496052746</v>
      </c>
      <c r="H406" s="64">
        <f>'Arbeidsark-K'!Z407*Vekting!$G$3</f>
        <v>3.8606622107689854</v>
      </c>
      <c r="I406" s="64">
        <f>'Arbeidsark-K'!AA407*Vekting!$H$3</f>
        <v>2.1063047289396168</v>
      </c>
      <c r="J406" s="64">
        <f>'Arbeidsark-K'!AB407*Vekting!$I$3</f>
        <v>2.3704077099961554</v>
      </c>
      <c r="K406" s="64">
        <f>'Arbeidsark-K'!AC407*Vekting!$J$3</f>
        <v>2.4625124958347215</v>
      </c>
      <c r="L406" s="63">
        <f t="shared" si="6"/>
        <v>26.973842972245571</v>
      </c>
      <c r="M406" s="65" t="s">
        <v>848</v>
      </c>
    </row>
    <row r="407" spans="1:13" x14ac:dyDescent="0.25">
      <c r="A407" s="66" t="s">
        <v>355</v>
      </c>
      <c r="B407" s="66">
        <v>406</v>
      </c>
      <c r="C407" s="64">
        <f>'Arbeidsark-K'!U408*Vekting!$B$3</f>
        <v>10</v>
      </c>
      <c r="D407" s="64">
        <f>'Arbeidsark-K'!V408*Vekting!$C$3</f>
        <v>0.23076482923200878</v>
      </c>
      <c r="E407" s="64">
        <f>'Arbeidsark-K'!W408*Vekting!$D$3</f>
        <v>0.83217461964070205</v>
      </c>
      <c r="F407" s="64">
        <f>'Arbeidsark-K'!X408*Vekting!$E$3</f>
        <v>15.119631535127775</v>
      </c>
      <c r="G407" s="64">
        <f>'Arbeidsark-K'!Y408*Vekting!$F$3</f>
        <v>5</v>
      </c>
      <c r="H407" s="64">
        <f>'Arbeidsark-K'!Z408*Vekting!$G$3</f>
        <v>5</v>
      </c>
      <c r="I407" s="64">
        <f>'Arbeidsark-K'!AA408*Vekting!$H$3</f>
        <v>4.6434657069149008</v>
      </c>
      <c r="J407" s="64">
        <f>'Arbeidsark-K'!AB408*Vekting!$I$3</f>
        <v>5.4927068710503884</v>
      </c>
      <c r="K407" s="64">
        <f>'Arbeidsark-K'!AC408*Vekting!$J$3</f>
        <v>8.6160168832611355</v>
      </c>
      <c r="L407" s="63">
        <f t="shared" si="6"/>
        <v>54.934760445226914</v>
      </c>
      <c r="M407" s="65" t="s">
        <v>849</v>
      </c>
    </row>
    <row r="408" spans="1:13" x14ac:dyDescent="0.25">
      <c r="A408" s="66" t="s">
        <v>356</v>
      </c>
      <c r="B408" s="66">
        <v>407</v>
      </c>
      <c r="C408" s="64">
        <f>'Arbeidsark-K'!U409*Vekting!$B$3</f>
        <v>0</v>
      </c>
      <c r="D408" s="64">
        <f>'Arbeidsark-K'!V409*Vekting!$C$3</f>
        <v>0</v>
      </c>
      <c r="E408" s="64">
        <f>'Arbeidsark-K'!W409*Vekting!$D$3</f>
        <v>0</v>
      </c>
      <c r="F408" s="64">
        <f>'Arbeidsark-K'!X409*Vekting!$E$3</f>
        <v>3.9131867234618856</v>
      </c>
      <c r="G408" s="64">
        <f>'Arbeidsark-K'!Y409*Vekting!$F$3</f>
        <v>4.6220424541998772</v>
      </c>
      <c r="H408" s="64">
        <f>'Arbeidsark-K'!Z409*Vekting!$G$3</f>
        <v>4.5205500068530204</v>
      </c>
      <c r="I408" s="64">
        <f>'Arbeidsark-K'!AA409*Vekting!$H$3</f>
        <v>1.4384541330174827</v>
      </c>
      <c r="J408" s="64">
        <f>'Arbeidsark-K'!AB409*Vekting!$I$3</f>
        <v>2.1806115791186031</v>
      </c>
      <c r="K408" s="64">
        <f>'Arbeidsark-K'!AC409*Vekting!$J$3</f>
        <v>0</v>
      </c>
      <c r="L408" s="63">
        <f t="shared" si="6"/>
        <v>16.674844896650871</v>
      </c>
      <c r="M408" s="65" t="s">
        <v>850</v>
      </c>
    </row>
    <row r="409" spans="1:13" x14ac:dyDescent="0.25">
      <c r="A409" s="66" t="s">
        <v>357</v>
      </c>
      <c r="B409" s="66">
        <v>408</v>
      </c>
      <c r="C409" s="64">
        <f>'Arbeidsark-K'!U410*Vekting!$B$3</f>
        <v>10</v>
      </c>
      <c r="D409" s="64">
        <f>'Arbeidsark-K'!V410*Vekting!$C$3</f>
        <v>2.8709622045176877</v>
      </c>
      <c r="E409" s="64">
        <f>'Arbeidsark-K'!W410*Vekting!$D$3</f>
        <v>0.30303671534600202</v>
      </c>
      <c r="F409" s="64">
        <f>'Arbeidsark-K'!X410*Vekting!$E$3</f>
        <v>15.918358429719513</v>
      </c>
      <c r="G409" s="64">
        <f>'Arbeidsark-K'!Y410*Vekting!$F$3</f>
        <v>5</v>
      </c>
      <c r="H409" s="64">
        <f>'Arbeidsark-K'!Z410*Vekting!$G$3</f>
        <v>5</v>
      </c>
      <c r="I409" s="64">
        <f>'Arbeidsark-K'!AA410*Vekting!$H$3</f>
        <v>8.7235704435066896</v>
      </c>
      <c r="J409" s="64">
        <f>'Arbeidsark-K'!AB410*Vekting!$I$3</f>
        <v>3.0978018767608706</v>
      </c>
      <c r="K409" s="64">
        <f>'Arbeidsark-K'!AC410*Vekting!$J$3</f>
        <v>4.8283905364878379</v>
      </c>
      <c r="L409" s="63">
        <f t="shared" si="6"/>
        <v>55.742120206338598</v>
      </c>
      <c r="M409" s="65" t="s">
        <v>851</v>
      </c>
    </row>
    <row r="410" spans="1:13" x14ac:dyDescent="0.25">
      <c r="A410" s="66" t="s">
        <v>358</v>
      </c>
      <c r="B410" s="66">
        <v>409</v>
      </c>
      <c r="C410" s="64">
        <f>'Arbeidsark-K'!U411*Vekting!$B$3</f>
        <v>0</v>
      </c>
      <c r="D410" s="64">
        <f>'Arbeidsark-K'!V411*Vekting!$C$3</f>
        <v>0</v>
      </c>
      <c r="E410" s="64">
        <f>'Arbeidsark-K'!W411*Vekting!$D$3</f>
        <v>1.1906777675939395E-2</v>
      </c>
      <c r="F410" s="64">
        <f>'Arbeidsark-K'!X411*Vekting!$E$3</f>
        <v>0</v>
      </c>
      <c r="G410" s="64">
        <f>'Arbeidsark-K'!Y411*Vekting!$F$3</f>
        <v>0</v>
      </c>
      <c r="H410" s="64">
        <f>'Arbeidsark-K'!Z411*Vekting!$G$3</f>
        <v>0</v>
      </c>
      <c r="I410" s="64">
        <f>'Arbeidsark-K'!AA411*Vekting!$H$3</f>
        <v>0</v>
      </c>
      <c r="J410" s="64">
        <f>'Arbeidsark-K'!AB411*Vekting!$I$3</f>
        <v>1.2169049565992822</v>
      </c>
      <c r="K410" s="64">
        <f>'Arbeidsark-K'!AC411*Vekting!$J$3</f>
        <v>0</v>
      </c>
      <c r="L410" s="63">
        <f t="shared" si="6"/>
        <v>1.2288117342752216</v>
      </c>
      <c r="M410" s="65" t="s">
        <v>852</v>
      </c>
    </row>
    <row r="411" spans="1:13" x14ac:dyDescent="0.25">
      <c r="A411" s="66" t="s">
        <v>359</v>
      </c>
      <c r="B411" s="66">
        <v>410</v>
      </c>
      <c r="C411" s="64">
        <f>'Arbeidsark-K'!U412*Vekting!$B$3</f>
        <v>0</v>
      </c>
      <c r="D411" s="64">
        <f>'Arbeidsark-K'!V412*Vekting!$C$3</f>
        <v>0</v>
      </c>
      <c r="E411" s="64">
        <f>'Arbeidsark-K'!W412*Vekting!$D$3</f>
        <v>4.6294090590104989E-2</v>
      </c>
      <c r="F411" s="64">
        <f>'Arbeidsark-K'!X412*Vekting!$E$3</f>
        <v>7.4409769692485916</v>
      </c>
      <c r="G411" s="64">
        <f>'Arbeidsark-K'!Y412*Vekting!$F$3</f>
        <v>1.4972101620967386</v>
      </c>
      <c r="H411" s="64">
        <f>'Arbeidsark-K'!Z412*Vekting!$G$3</f>
        <v>2.5110823476680753</v>
      </c>
      <c r="I411" s="64">
        <f>'Arbeidsark-K'!AA412*Vekting!$H$3</f>
        <v>5.4191179439236539</v>
      </c>
      <c r="J411" s="64">
        <f>'Arbeidsark-K'!AB412*Vekting!$I$3</f>
        <v>0</v>
      </c>
      <c r="K411" s="64">
        <f>'Arbeidsark-K'!AC412*Vekting!$J$3</f>
        <v>0</v>
      </c>
      <c r="L411" s="63">
        <f t="shared" si="6"/>
        <v>16.914681513527164</v>
      </c>
      <c r="M411" s="65" t="s">
        <v>853</v>
      </c>
    </row>
    <row r="412" spans="1:13" x14ac:dyDescent="0.25">
      <c r="A412" s="66" t="s">
        <v>360</v>
      </c>
      <c r="B412" s="66">
        <v>411</v>
      </c>
      <c r="C412" s="64">
        <f>'Arbeidsark-K'!U413*Vekting!$B$3</f>
        <v>10</v>
      </c>
      <c r="D412" s="64">
        <f>'Arbeidsark-K'!V413*Vekting!$C$3</f>
        <v>0</v>
      </c>
      <c r="E412" s="64">
        <f>'Arbeidsark-K'!W413*Vekting!$D$3</f>
        <v>0</v>
      </c>
      <c r="F412" s="64">
        <f>'Arbeidsark-K'!X413*Vekting!$E$3</f>
        <v>0</v>
      </c>
      <c r="G412" s="64">
        <f>'Arbeidsark-K'!Y413*Vekting!$F$3</f>
        <v>0</v>
      </c>
      <c r="H412" s="64">
        <f>'Arbeidsark-K'!Z413*Vekting!$G$3</f>
        <v>0</v>
      </c>
      <c r="I412" s="64">
        <f>'Arbeidsark-K'!AA413*Vekting!$H$3</f>
        <v>8.9340076719027515</v>
      </c>
      <c r="J412" s="64">
        <f>'Arbeidsark-K'!AB413*Vekting!$I$3</f>
        <v>3.3829104671160284</v>
      </c>
      <c r="K412" s="64">
        <f>'Arbeidsark-K'!AC413*Vekting!$J$3</f>
        <v>2.1737198711540602</v>
      </c>
      <c r="L412" s="63">
        <f t="shared" si="6"/>
        <v>24.490638010172841</v>
      </c>
      <c r="M412" s="65" t="s">
        <v>854</v>
      </c>
    </row>
    <row r="413" spans="1:13" x14ac:dyDescent="0.25">
      <c r="A413" s="66" t="s">
        <v>361</v>
      </c>
      <c r="B413" s="66">
        <v>412</v>
      </c>
      <c r="C413" s="64">
        <f>'Arbeidsark-K'!U414*Vekting!$B$3</f>
        <v>0</v>
      </c>
      <c r="D413" s="64">
        <f>'Arbeidsark-K'!V414*Vekting!$C$3</f>
        <v>0</v>
      </c>
      <c r="E413" s="64">
        <f>'Arbeidsark-K'!W414*Vekting!$D$3</f>
        <v>0</v>
      </c>
      <c r="F413" s="64">
        <f>'Arbeidsark-K'!X414*Vekting!$E$3</f>
        <v>0</v>
      </c>
      <c r="G413" s="64">
        <f>'Arbeidsark-K'!Y414*Vekting!$F$3</f>
        <v>1.397464340917852</v>
      </c>
      <c r="H413" s="64">
        <f>'Arbeidsark-K'!Z414*Vekting!$G$3</f>
        <v>0</v>
      </c>
      <c r="I413" s="64">
        <f>'Arbeidsark-K'!AA414*Vekting!$H$3</f>
        <v>0</v>
      </c>
      <c r="J413" s="64">
        <f>'Arbeidsark-K'!AB414*Vekting!$I$3</f>
        <v>0</v>
      </c>
      <c r="K413" s="64">
        <f>'Arbeidsark-K'!AC414*Vekting!$J$3</f>
        <v>1.0407641897145397</v>
      </c>
      <c r="L413" s="63">
        <f t="shared" si="6"/>
        <v>2.4382285306323919</v>
      </c>
      <c r="M413" s="65" t="s">
        <v>855</v>
      </c>
    </row>
    <row r="414" spans="1:13" x14ac:dyDescent="0.25">
      <c r="A414" s="66" t="s">
        <v>362</v>
      </c>
      <c r="B414" s="66">
        <v>413</v>
      </c>
      <c r="C414" s="64">
        <f>'Arbeidsark-K'!U415*Vekting!$B$3</f>
        <v>4</v>
      </c>
      <c r="D414" s="64">
        <f>'Arbeidsark-K'!V415*Vekting!$C$3</f>
        <v>0</v>
      </c>
      <c r="E414" s="64">
        <f>'Arbeidsark-K'!W415*Vekting!$D$3</f>
        <v>0.17214363513159159</v>
      </c>
      <c r="F414" s="64">
        <f>'Arbeidsark-K'!X415*Vekting!$E$3</f>
        <v>5.1450876171910984</v>
      </c>
      <c r="G414" s="64">
        <f>'Arbeidsark-K'!Y415*Vekting!$F$3</f>
        <v>2.2506095570880755</v>
      </c>
      <c r="H414" s="64">
        <f>'Arbeidsark-K'!Z415*Vekting!$G$3</f>
        <v>2.7202614480205307</v>
      </c>
      <c r="I414" s="64">
        <f>'Arbeidsark-K'!AA415*Vekting!$H$3</f>
        <v>4.2931687032988926</v>
      </c>
      <c r="J414" s="64">
        <f>'Arbeidsark-K'!AB415*Vekting!$I$3</f>
        <v>0.67675736479401394</v>
      </c>
      <c r="K414" s="64">
        <f>'Arbeidsark-K'!AC415*Vekting!$J$3</f>
        <v>3.5843607686326777</v>
      </c>
      <c r="L414" s="63">
        <f t="shared" si="6"/>
        <v>22.842389094156882</v>
      </c>
      <c r="M414" s="65" t="s">
        <v>856</v>
      </c>
    </row>
    <row r="415" spans="1:13" x14ac:dyDescent="0.25">
      <c r="A415" s="66" t="s">
        <v>363</v>
      </c>
      <c r="B415" s="66">
        <v>414</v>
      </c>
      <c r="C415" s="64">
        <f>'Arbeidsark-K'!U416*Vekting!$B$3</f>
        <v>4</v>
      </c>
      <c r="D415" s="64">
        <f>'Arbeidsark-K'!V416*Vekting!$C$3</f>
        <v>0</v>
      </c>
      <c r="E415" s="64">
        <f>'Arbeidsark-K'!W416*Vekting!$D$3</f>
        <v>0</v>
      </c>
      <c r="F415" s="64">
        <f>'Arbeidsark-K'!X416*Vekting!$E$3</f>
        <v>1.1608246553086701</v>
      </c>
      <c r="G415" s="64">
        <f>'Arbeidsark-K'!Y416*Vekting!$F$3</f>
        <v>1.8604438954998586</v>
      </c>
      <c r="H415" s="64">
        <f>'Arbeidsark-K'!Z416*Vekting!$G$3</f>
        <v>2.4535623249843628</v>
      </c>
      <c r="I415" s="64">
        <f>'Arbeidsark-K'!AA416*Vekting!$H$3</f>
        <v>1.1853765407906836</v>
      </c>
      <c r="J415" s="64">
        <f>'Arbeidsark-K'!AB416*Vekting!$I$3</f>
        <v>1.1304116576478478</v>
      </c>
      <c r="K415" s="64">
        <f>'Arbeidsark-K'!AC416*Vekting!$J$3</f>
        <v>3.1733866488948124</v>
      </c>
      <c r="L415" s="63">
        <f t="shared" si="6"/>
        <v>14.964005723126235</v>
      </c>
      <c r="M415" s="65" t="s">
        <v>857</v>
      </c>
    </row>
    <row r="416" spans="1:13" x14ac:dyDescent="0.25">
      <c r="A416" s="66" t="s">
        <v>364</v>
      </c>
      <c r="B416" s="66">
        <v>415</v>
      </c>
      <c r="C416" s="64">
        <f>'Arbeidsark-K'!U417*Vekting!$B$3</f>
        <v>0</v>
      </c>
      <c r="D416" s="64">
        <f>'Arbeidsark-K'!V417*Vekting!$C$3</f>
        <v>0</v>
      </c>
      <c r="E416" s="64">
        <f>'Arbeidsark-K'!W417*Vekting!$D$3</f>
        <v>0</v>
      </c>
      <c r="F416" s="64">
        <f>'Arbeidsark-K'!X417*Vekting!$E$3</f>
        <v>0</v>
      </c>
      <c r="G416" s="64">
        <f>'Arbeidsark-K'!Y417*Vekting!$F$3</f>
        <v>3.7025538560258093</v>
      </c>
      <c r="H416" s="64">
        <f>'Arbeidsark-K'!Z417*Vekting!$G$3</f>
        <v>4.046678669124347</v>
      </c>
      <c r="I416" s="64">
        <f>'Arbeidsark-K'!AA417*Vekting!$H$3</f>
        <v>3.9412101218050553</v>
      </c>
      <c r="J416" s="64">
        <f>'Arbeidsark-K'!AB417*Vekting!$I$3</f>
        <v>3.6374696313014541</v>
      </c>
      <c r="K416" s="64">
        <f>'Arbeidsark-K'!AC417*Vekting!$J$3</f>
        <v>0</v>
      </c>
      <c r="L416" s="63">
        <f t="shared" si="6"/>
        <v>15.327912278256665</v>
      </c>
      <c r="M416" s="65" t="s">
        <v>858</v>
      </c>
    </row>
    <row r="417" spans="1:13" x14ac:dyDescent="0.25">
      <c r="A417" s="66" t="s">
        <v>365</v>
      </c>
      <c r="B417" s="66">
        <v>416</v>
      </c>
      <c r="C417" s="64">
        <f>'Arbeidsark-K'!U418*Vekting!$B$3</f>
        <v>0</v>
      </c>
      <c r="D417" s="64">
        <f>'Arbeidsark-K'!V418*Vekting!$C$3</f>
        <v>0</v>
      </c>
      <c r="E417" s="64">
        <f>'Arbeidsark-K'!W418*Vekting!$D$3</f>
        <v>0</v>
      </c>
      <c r="F417" s="64">
        <f>'Arbeidsark-K'!X418*Vekting!$E$3</f>
        <v>2.9835237088142978</v>
      </c>
      <c r="G417" s="64">
        <f>'Arbeidsark-K'!Y418*Vekting!$F$3</f>
        <v>0</v>
      </c>
      <c r="H417" s="64">
        <f>'Arbeidsark-K'!Z418*Vekting!$G$3</f>
        <v>2.0936627386091824</v>
      </c>
      <c r="I417" s="64">
        <f>'Arbeidsark-K'!AA418*Vekting!$H$3</f>
        <v>2.1216581226927786</v>
      </c>
      <c r="J417" s="64">
        <f>'Arbeidsark-K'!AB418*Vekting!$I$3</f>
        <v>0</v>
      </c>
      <c r="K417" s="64">
        <f>'Arbeidsark-K'!AC418*Vekting!$J$3</f>
        <v>0</v>
      </c>
      <c r="L417" s="63">
        <f t="shared" si="6"/>
        <v>7.1988445701162593</v>
      </c>
      <c r="M417" s="65" t="s">
        <v>859</v>
      </c>
    </row>
    <row r="418" spans="1:13" x14ac:dyDescent="0.25">
      <c r="A418" s="66" t="s">
        <v>366</v>
      </c>
      <c r="B418" s="66">
        <v>417</v>
      </c>
      <c r="C418" s="64">
        <f>'Arbeidsark-K'!U419*Vekting!$B$3</f>
        <v>0</v>
      </c>
      <c r="D418" s="64">
        <f>'Arbeidsark-K'!V419*Vekting!$C$3</f>
        <v>0</v>
      </c>
      <c r="E418" s="64">
        <f>'Arbeidsark-K'!W419*Vekting!$D$3</f>
        <v>0</v>
      </c>
      <c r="F418" s="64">
        <f>'Arbeidsark-K'!X419*Vekting!$E$3</f>
        <v>12.193051305943071</v>
      </c>
      <c r="G418" s="64">
        <f>'Arbeidsark-K'!Y419*Vekting!$F$3</f>
        <v>1.0180399414028969</v>
      </c>
      <c r="H418" s="64">
        <f>'Arbeidsark-K'!Z419*Vekting!$G$3</f>
        <v>2.3520443752456366</v>
      </c>
      <c r="I418" s="64">
        <f>'Arbeidsark-K'!AA419*Vekting!$H$3</f>
        <v>10</v>
      </c>
      <c r="J418" s="64">
        <f>'Arbeidsark-K'!AB419*Vekting!$I$3</f>
        <v>0</v>
      </c>
      <c r="K418" s="64">
        <f>'Arbeidsark-K'!AC419*Vekting!$J$3</f>
        <v>0</v>
      </c>
      <c r="L418" s="63">
        <f t="shared" si="6"/>
        <v>25.563135622591602</v>
      </c>
      <c r="M418" s="65" t="s">
        <v>860</v>
      </c>
    </row>
    <row r="419" spans="1:13" x14ac:dyDescent="0.25">
      <c r="A419" s="66" t="s">
        <v>367</v>
      </c>
      <c r="B419" s="66">
        <v>418</v>
      </c>
      <c r="C419" s="64">
        <f>'Arbeidsark-K'!U420*Vekting!$B$3</f>
        <v>0</v>
      </c>
      <c r="D419" s="64">
        <f>'Arbeidsark-K'!V420*Vekting!$C$3</f>
        <v>0</v>
      </c>
      <c r="E419" s="64">
        <f>'Arbeidsark-K'!W420*Vekting!$D$3</f>
        <v>0</v>
      </c>
      <c r="F419" s="64">
        <f>'Arbeidsark-K'!X420*Vekting!$E$3</f>
        <v>0</v>
      </c>
      <c r="G419" s="64">
        <f>'Arbeidsark-K'!Y420*Vekting!$F$3</f>
        <v>1.051795603377861</v>
      </c>
      <c r="H419" s="64">
        <f>'Arbeidsark-K'!Z420*Vekting!$G$3</f>
        <v>0.87206803609394079</v>
      </c>
      <c r="I419" s="64">
        <f>'Arbeidsark-K'!AA420*Vekting!$H$3</f>
        <v>3.9868084273030835</v>
      </c>
      <c r="J419" s="64">
        <f>'Arbeidsark-K'!AB420*Vekting!$I$3</f>
        <v>0.76412047430530095</v>
      </c>
      <c r="K419" s="64">
        <f>'Arbeidsark-K'!AC420*Vekting!$J$3</f>
        <v>0.94079751194046402</v>
      </c>
      <c r="L419" s="63">
        <f t="shared" si="6"/>
        <v>7.6155900530206502</v>
      </c>
      <c r="M419" s="65" t="s">
        <v>861</v>
      </c>
    </row>
    <row r="420" spans="1:13" x14ac:dyDescent="0.25">
      <c r="A420" s="66" t="s">
        <v>368</v>
      </c>
      <c r="B420" s="66">
        <v>419</v>
      </c>
      <c r="C420" s="64">
        <f>'Arbeidsark-K'!U421*Vekting!$B$3</f>
        <v>0</v>
      </c>
      <c r="D420" s="64">
        <f>'Arbeidsark-K'!V421*Vekting!$C$3</f>
        <v>0</v>
      </c>
      <c r="E420" s="64">
        <f>'Arbeidsark-K'!W421*Vekting!$D$3</f>
        <v>0</v>
      </c>
      <c r="F420" s="64">
        <f>'Arbeidsark-K'!X421*Vekting!$E$3</f>
        <v>2.731122361582496</v>
      </c>
      <c r="G420" s="64">
        <f>'Arbeidsark-K'!Y421*Vekting!$F$3</f>
        <v>1.0095409929737329</v>
      </c>
      <c r="H420" s="64">
        <f>'Arbeidsark-K'!Z421*Vekting!$G$3</f>
        <v>2.0609976108374144</v>
      </c>
      <c r="I420" s="64">
        <f>'Arbeidsark-K'!AA421*Vekting!$H$3</f>
        <v>6.7466101172939634</v>
      </c>
      <c r="J420" s="64">
        <f>'Arbeidsark-K'!AB421*Vekting!$I$3</f>
        <v>4.2696720013803775</v>
      </c>
      <c r="K420" s="64">
        <f>'Arbeidsark-K'!AC421*Vekting!$J$3</f>
        <v>2.2514717316450077</v>
      </c>
      <c r="L420" s="63">
        <f t="shared" si="6"/>
        <v>19.069414815712992</v>
      </c>
      <c r="M420" s="65" t="s">
        <v>862</v>
      </c>
    </row>
    <row r="421" spans="1:13" x14ac:dyDescent="0.25">
      <c r="A421" s="66" t="s">
        <v>369</v>
      </c>
      <c r="B421" s="66">
        <v>420</v>
      </c>
      <c r="C421" s="64">
        <f>'Arbeidsark-K'!U422*Vekting!$B$3</f>
        <v>8</v>
      </c>
      <c r="D421" s="64">
        <f>'Arbeidsark-K'!V422*Vekting!$C$3</f>
        <v>0</v>
      </c>
      <c r="E421" s="64">
        <f>'Arbeidsark-K'!W422*Vekting!$D$3</f>
        <v>0</v>
      </c>
      <c r="F421" s="64">
        <f>'Arbeidsark-K'!X422*Vekting!$E$3</f>
        <v>11.227578760116286</v>
      </c>
      <c r="G421" s="64">
        <f>'Arbeidsark-K'!Y422*Vekting!$F$3</f>
        <v>1.7343734969651017</v>
      </c>
      <c r="H421" s="64">
        <f>'Arbeidsark-K'!Z422*Vekting!$G$3</f>
        <v>0.5162467648596003</v>
      </c>
      <c r="I421" s="64">
        <f>'Arbeidsark-K'!AA422*Vekting!$H$3</f>
        <v>0.6004655641231168</v>
      </c>
      <c r="J421" s="64">
        <f>'Arbeidsark-K'!AB422*Vekting!$I$3</f>
        <v>0</v>
      </c>
      <c r="K421" s="64">
        <f>'Arbeidsark-K'!AC422*Vekting!$J$3</f>
        <v>0</v>
      </c>
      <c r="L421" s="63">
        <f t="shared" si="6"/>
        <v>22.078664586064104</v>
      </c>
      <c r="M421" s="65" t="s">
        <v>863</v>
      </c>
    </row>
    <row r="422" spans="1:13" x14ac:dyDescent="0.25">
      <c r="A422" s="66" t="s">
        <v>370</v>
      </c>
      <c r="B422" s="66">
        <v>421</v>
      </c>
      <c r="C422" s="64">
        <f>'Arbeidsark-K'!U423*Vekting!$B$3</f>
        <v>4</v>
      </c>
      <c r="D422" s="64">
        <f>'Arbeidsark-K'!V423*Vekting!$C$3</f>
        <v>0</v>
      </c>
      <c r="E422" s="64">
        <f>'Arbeidsark-K'!W423*Vekting!$D$3</f>
        <v>2.4942134917631621E-2</v>
      </c>
      <c r="F422" s="64">
        <f>'Arbeidsark-K'!X423*Vekting!$E$3</f>
        <v>10.976893916904331</v>
      </c>
      <c r="G422" s="64">
        <f>'Arbeidsark-K'!Y423*Vekting!$F$3</f>
        <v>3.2133029498185359</v>
      </c>
      <c r="H422" s="64">
        <f>'Arbeidsark-K'!Z423*Vekting!$G$3</f>
        <v>4.5345823634217659</v>
      </c>
      <c r="I422" s="64">
        <f>'Arbeidsark-K'!AA423*Vekting!$H$3</f>
        <v>10</v>
      </c>
      <c r="J422" s="64">
        <f>'Arbeidsark-K'!AB423*Vekting!$I$3</f>
        <v>3.91957899039644</v>
      </c>
      <c r="K422" s="64">
        <f>'Arbeidsark-K'!AC423*Vekting!$J$3</f>
        <v>1.951571698322782</v>
      </c>
      <c r="L422" s="63">
        <f t="shared" si="6"/>
        <v>38.620872053781483</v>
      </c>
      <c r="M422" s="65" t="s">
        <v>864</v>
      </c>
    </row>
    <row r="423" spans="1:13" x14ac:dyDescent="0.25">
      <c r="A423" s="66" t="s">
        <v>371</v>
      </c>
      <c r="B423" s="66">
        <v>422</v>
      </c>
      <c r="C423" s="64">
        <f>'Arbeidsark-K'!U424*Vekting!$B$3</f>
        <v>4</v>
      </c>
      <c r="D423" s="64">
        <f>'Arbeidsark-K'!V424*Vekting!$C$3</f>
        <v>2.1143120643287272</v>
      </c>
      <c r="E423" s="64">
        <f>'Arbeidsark-K'!W424*Vekting!$D$3</f>
        <v>9.8570629363452164E-2</v>
      </c>
      <c r="F423" s="64">
        <f>'Arbeidsark-K'!X424*Vekting!$E$3</f>
        <v>11.134390632065623</v>
      </c>
      <c r="G423" s="64">
        <f>'Arbeidsark-K'!Y424*Vekting!$F$3</f>
        <v>4.5183592262512562</v>
      </c>
      <c r="H423" s="64">
        <f>'Arbeidsark-K'!Z424*Vekting!$G$3</f>
        <v>4.1652410745443857</v>
      </c>
      <c r="I423" s="64">
        <f>'Arbeidsark-K'!AA424*Vekting!$H$3</f>
        <v>8.174936592575202</v>
      </c>
      <c r="J423" s="64">
        <f>'Arbeidsark-K'!AB424*Vekting!$I$3</f>
        <v>3.4891279714077683</v>
      </c>
      <c r="K423" s="64">
        <f>'Arbeidsark-K'!AC424*Vekting!$J$3</f>
        <v>4.8950349883372217</v>
      </c>
      <c r="L423" s="63">
        <f t="shared" si="6"/>
        <v>42.589973178873642</v>
      </c>
      <c r="M423" s="65" t="s">
        <v>865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Rådata-K</vt:lpstr>
      <vt:lpstr>Arbeidsark-K</vt:lpstr>
      <vt:lpstr>Dokumentasjon</vt:lpstr>
      <vt:lpstr>Vekting</vt:lpstr>
      <vt:lpstr>Vektede tall og DI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Martin Hasle Jensen</dc:creator>
  <cp:lastModifiedBy>Vidar Martin Hasle Jensen</cp:lastModifiedBy>
  <cp:lastPrinted>2013-05-10T12:05:29Z</cp:lastPrinted>
  <dcterms:created xsi:type="dcterms:W3CDTF">2012-11-12T08:19:16Z</dcterms:created>
  <dcterms:modified xsi:type="dcterms:W3CDTF">2017-12-13T18:00:51Z</dcterms:modified>
</cp:coreProperties>
</file>