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s\Midlertidige filer\"/>
    </mc:Choice>
  </mc:AlternateContent>
  <workbookProtection lockStructure="1"/>
  <bookViews>
    <workbookView xWindow="0" yWindow="0" windowWidth="28800" windowHeight="14235" firstSheet="3" activeTab="3"/>
  </bookViews>
  <sheets>
    <sheet name="Diagram1" sheetId="2" state="hidden" r:id="rId1"/>
    <sheet name="Diagram2" sheetId="4" state="hidden" r:id="rId2"/>
    <sheet name="Diagram2 (2)" sheetId="5" state="hidden" r:id="rId3"/>
    <sheet name="I fjor" sheetId="1" r:id="rId4"/>
    <sheet name="plan i år" sheetId="6" r:id="rId5"/>
    <sheet name="alt" sheetId="7" r:id="rId6"/>
    <sheet name="Bem kr sund" sheetId="3" state="hidden" r:id="rId7"/>
    <sheet name="oppsum" sheetId="10" r:id="rId8"/>
    <sheet name="Di årsverk" sheetId="11" r:id="rId9"/>
    <sheet name="Di fag" sheetId="13" r:id="rId10"/>
    <sheet name="Di stillings" sheetId="14" r:id="rId11"/>
    <sheet name="Di ansatte" sheetId="12" r:id="rId12"/>
    <sheet name="Di loennsutg" sheetId="16" r:id="rId13"/>
    <sheet name="Di utg pers" sheetId="17" r:id="rId14"/>
    <sheet name="Di fravaer" sheetId="15" r:id="rId15"/>
  </sheets>
  <definedNames>
    <definedName name="_xlnm.Print_Area" localSheetId="6">'Bem kr sund'!$A$5:$T$49</definedName>
    <definedName name="_xlnm.Print_Titles" localSheetId="6">'Bem kr sund'!$5:$8</definedName>
    <definedName name="Utskriftstitler_MI" localSheetId="6">'Bem kr sund'!$5:$8</definedName>
  </definedNames>
  <calcPr calcId="152511"/>
</workbook>
</file>

<file path=xl/calcChain.xml><?xml version="1.0" encoding="utf-8"?>
<calcChain xmlns="http://schemas.openxmlformats.org/spreadsheetml/2006/main">
  <c r="L36" i="1" l="1"/>
  <c r="L37" i="1"/>
  <c r="L38" i="1"/>
  <c r="L35" i="1"/>
  <c r="A36" i="6" l="1"/>
  <c r="B36" i="6"/>
  <c r="C36" i="6"/>
  <c r="D36" i="6"/>
  <c r="E36" i="6"/>
  <c r="A37" i="6"/>
  <c r="B37" i="6"/>
  <c r="C37" i="6"/>
  <c r="D37" i="6"/>
  <c r="E37" i="6"/>
  <c r="A38" i="6"/>
  <c r="B38" i="6"/>
  <c r="C38" i="6"/>
  <c r="D38" i="6"/>
  <c r="E38" i="6"/>
  <c r="A37" i="7"/>
  <c r="W41" i="6" l="1"/>
  <c r="W41" i="7" s="1"/>
  <c r="I36" i="6" l="1"/>
  <c r="I37" i="6"/>
  <c r="I38" i="6"/>
  <c r="I39" i="6"/>
  <c r="H36" i="6"/>
  <c r="H37" i="6"/>
  <c r="H38" i="6"/>
  <c r="H39" i="6"/>
  <c r="AA41" i="6"/>
  <c r="G38" i="6"/>
  <c r="F38" i="6"/>
  <c r="L38" i="6" s="1"/>
  <c r="G37" i="6"/>
  <c r="F37" i="6"/>
  <c r="L37" i="6" s="1"/>
  <c r="G36" i="6"/>
  <c r="F36" i="6"/>
  <c r="L36" i="6" s="1"/>
  <c r="G43" i="6"/>
  <c r="F43" i="6"/>
  <c r="G35" i="6"/>
  <c r="F35" i="6"/>
  <c r="T25" i="6" l="1"/>
  <c r="S25" i="6"/>
  <c r="U25" i="6"/>
  <c r="W26" i="1" l="1"/>
  <c r="B26" i="1"/>
  <c r="W25" i="1" l="1"/>
  <c r="K25" i="1"/>
  <c r="V25" i="6" l="1"/>
  <c r="V25" i="7" s="1"/>
  <c r="U25" i="7"/>
  <c r="T25" i="7"/>
  <c r="S26" i="6" l="1"/>
  <c r="M19" i="1"/>
  <c r="H43" i="6" l="1"/>
  <c r="P25" i="6"/>
  <c r="I25" i="6"/>
  <c r="H25" i="6"/>
  <c r="G25" i="6"/>
  <c r="F25" i="6"/>
  <c r="C25" i="6"/>
  <c r="B25" i="6"/>
  <c r="G43" i="7" l="1"/>
  <c r="F43" i="7"/>
  <c r="H43" i="7"/>
  <c r="E41" i="7"/>
  <c r="D41" i="7"/>
  <c r="C41" i="7"/>
  <c r="B41" i="7"/>
  <c r="AA41" i="7"/>
  <c r="A41" i="6"/>
  <c r="A41" i="7" s="1"/>
  <c r="D9" i="10" l="1"/>
  <c r="D10" i="10"/>
  <c r="D11" i="10"/>
  <c r="P24" i="1" l="1"/>
  <c r="H24" i="1"/>
  <c r="L24" i="1"/>
  <c r="K28" i="7" l="1"/>
  <c r="J28" i="7"/>
  <c r="I28" i="7"/>
  <c r="H28" i="7"/>
  <c r="G28" i="7"/>
  <c r="F28" i="7"/>
  <c r="E28" i="7"/>
  <c r="D28" i="7"/>
  <c r="K28" i="6"/>
  <c r="J28" i="6"/>
  <c r="I28" i="6"/>
  <c r="H28" i="6"/>
  <c r="G28" i="6"/>
  <c r="F28" i="6"/>
  <c r="E28" i="6"/>
  <c r="D28" i="6"/>
  <c r="C28" i="7"/>
  <c r="C28" i="6"/>
  <c r="G32" i="10"/>
  <c r="F32" i="10"/>
  <c r="G31" i="10"/>
  <c r="F31" i="10"/>
  <c r="CM30" i="1"/>
  <c r="W30" i="1" s="1"/>
  <c r="AC30" i="1"/>
  <c r="A39" i="7"/>
  <c r="A39" i="6"/>
  <c r="H39" i="7"/>
  <c r="I39" i="7"/>
  <c r="J39" i="6"/>
  <c r="J39" i="7" s="1"/>
  <c r="F39" i="6"/>
  <c r="F39" i="7" s="1"/>
  <c r="G39" i="6"/>
  <c r="G39" i="7" s="1"/>
  <c r="F33" i="7"/>
  <c r="F33" i="6"/>
  <c r="W21" i="7"/>
  <c r="W21" i="6"/>
  <c r="W23" i="7"/>
  <c r="W23" i="6"/>
  <c r="U24" i="7"/>
  <c r="U24" i="6"/>
  <c r="V22" i="7"/>
  <c r="V22" i="6"/>
  <c r="U22" i="7"/>
  <c r="U22" i="6"/>
  <c r="U21" i="7"/>
  <c r="U21" i="6"/>
  <c r="AA24" i="7"/>
  <c r="AA24" i="6"/>
  <c r="AA21" i="7"/>
  <c r="AA21" i="6"/>
  <c r="Y21" i="7"/>
  <c r="Z21" i="7"/>
  <c r="Y21" i="6"/>
  <c r="Z21" i="6"/>
  <c r="X21" i="7"/>
  <c r="X21" i="6"/>
  <c r="T24" i="7"/>
  <c r="T24" i="6"/>
  <c r="S24" i="7"/>
  <c r="S24" i="6"/>
  <c r="S23" i="7"/>
  <c r="S23" i="6"/>
  <c r="S21" i="7"/>
  <c r="S21" i="6"/>
  <c r="R21" i="7"/>
  <c r="R21" i="6"/>
  <c r="N23" i="7"/>
  <c r="J23" i="7"/>
  <c r="N23" i="6"/>
  <c r="J23" i="6"/>
  <c r="F23" i="7"/>
  <c r="F23" i="6"/>
  <c r="B23" i="7"/>
  <c r="B23" i="6"/>
  <c r="J22" i="7"/>
  <c r="J22" i="6"/>
  <c r="B22" i="7"/>
  <c r="B22" i="6"/>
  <c r="B21" i="7"/>
  <c r="B21" i="6"/>
  <c r="A28" i="6"/>
  <c r="J40" i="1" l="1"/>
  <c r="I40" i="1"/>
  <c r="H40" i="1"/>
  <c r="J44" i="1" l="1"/>
  <c r="S40" i="1"/>
  <c r="I44" i="1"/>
  <c r="R40" i="1"/>
  <c r="Q40" i="1"/>
  <c r="H44" i="1"/>
  <c r="D24" i="6"/>
  <c r="D24" i="7" l="1"/>
  <c r="H24" i="7" s="1"/>
  <c r="L24" i="7" s="1"/>
  <c r="P24" i="7" s="1"/>
  <c r="E24" i="7"/>
  <c r="I24" i="7" s="1"/>
  <c r="M24" i="7" s="1"/>
  <c r="Q24" i="7" s="1"/>
  <c r="C24" i="7"/>
  <c r="G24" i="7" s="1"/>
  <c r="K24" i="7" s="1"/>
  <c r="O24" i="7" s="1"/>
  <c r="B24" i="7"/>
  <c r="F24" i="7" s="1"/>
  <c r="J24" i="7" s="1"/>
  <c r="N24" i="7" s="1"/>
  <c r="E24" i="6"/>
  <c r="H24" i="6"/>
  <c r="L24" i="6" s="1"/>
  <c r="P24" i="6" s="1"/>
  <c r="C24" i="6"/>
  <c r="B24" i="6"/>
  <c r="I24" i="6" l="1"/>
  <c r="M24" i="6" s="1"/>
  <c r="Q24" i="6" s="1"/>
  <c r="G24" i="6"/>
  <c r="K24" i="6" s="1"/>
  <c r="O24" i="6" s="1"/>
  <c r="F24" i="6"/>
  <c r="J24" i="6" s="1"/>
  <c r="N24" i="6" s="1"/>
  <c r="A30" i="7" l="1"/>
  <c r="F47" i="6" l="1"/>
  <c r="F47" i="7"/>
  <c r="Q46" i="6"/>
  <c r="Q46" i="7"/>
  <c r="R48" i="6"/>
  <c r="R48" i="7"/>
  <c r="R47" i="6"/>
  <c r="R47" i="7"/>
  <c r="Q47" i="6"/>
  <c r="Q47" i="7"/>
  <c r="M47" i="6"/>
  <c r="M47" i="7"/>
  <c r="K47" i="6"/>
  <c r="K47" i="7"/>
  <c r="K46" i="6"/>
  <c r="K46" i="7"/>
  <c r="A53" i="6"/>
  <c r="A53" i="7"/>
  <c r="A52" i="6"/>
  <c r="A52" i="7"/>
  <c r="A51" i="6"/>
  <c r="A51" i="7"/>
  <c r="A50" i="6"/>
  <c r="A50" i="7"/>
  <c r="A49" i="6"/>
  <c r="A49" i="7"/>
  <c r="J47" i="6"/>
  <c r="O47" i="6"/>
  <c r="W47" i="6"/>
  <c r="U47" i="6"/>
  <c r="T47" i="6"/>
  <c r="J47" i="7"/>
  <c r="O47" i="7"/>
  <c r="W47" i="7"/>
  <c r="U47" i="7"/>
  <c r="T47" i="7"/>
  <c r="I47" i="6"/>
  <c r="I47" i="7"/>
  <c r="H48" i="6"/>
  <c r="G48" i="6"/>
  <c r="H48" i="7"/>
  <c r="G48" i="7"/>
  <c r="F48" i="6"/>
  <c r="F48" i="7"/>
  <c r="F46" i="6"/>
  <c r="F46" i="7"/>
  <c r="W36" i="6"/>
  <c r="W36" i="7"/>
  <c r="W32" i="6"/>
  <c r="W32" i="7"/>
  <c r="O33" i="6"/>
  <c r="O33" i="7"/>
  <c r="O32" i="6"/>
  <c r="O32" i="7"/>
  <c r="AA33" i="6"/>
  <c r="Z33" i="6"/>
  <c r="W33" i="6"/>
  <c r="U34" i="6"/>
  <c r="AA33" i="7"/>
  <c r="Z33" i="7"/>
  <c r="W33" i="7"/>
  <c r="U34" i="7"/>
  <c r="S52" i="6"/>
  <c r="S52" i="7" s="1"/>
  <c r="R52" i="6"/>
  <c r="R52" i="7" s="1"/>
  <c r="S51" i="6"/>
  <c r="S51" i="7" s="1"/>
  <c r="R51" i="6"/>
  <c r="R51" i="7" s="1"/>
  <c r="S49" i="6"/>
  <c r="S49" i="7" s="1"/>
  <c r="R49" i="6"/>
  <c r="R49" i="7" s="1"/>
  <c r="O52" i="6"/>
  <c r="O52" i="7" s="1"/>
  <c r="O51" i="6"/>
  <c r="O51" i="7" s="1"/>
  <c r="N50" i="6"/>
  <c r="N50" i="7" s="1"/>
  <c r="L49" i="6"/>
  <c r="L49" i="7" s="1"/>
  <c r="K49" i="6"/>
  <c r="K49" i="7" s="1"/>
  <c r="AA29" i="6"/>
  <c r="AA29" i="7" s="1"/>
  <c r="X29" i="6"/>
  <c r="X29" i="7" s="1"/>
  <c r="W29" i="6"/>
  <c r="Q30" i="6"/>
  <c r="Q30" i="7" s="1"/>
  <c r="P30" i="6"/>
  <c r="P29" i="6"/>
  <c r="U36" i="6"/>
  <c r="U36" i="7" s="1"/>
  <c r="T35" i="6"/>
  <c r="S35" i="6"/>
  <c r="R35" i="6"/>
  <c r="Q35" i="6"/>
  <c r="J38" i="6"/>
  <c r="J38" i="7" s="1"/>
  <c r="I38" i="7"/>
  <c r="H38" i="7"/>
  <c r="G38" i="7"/>
  <c r="F38" i="7"/>
  <c r="J37" i="6"/>
  <c r="J37" i="7" s="1"/>
  <c r="I37" i="7"/>
  <c r="H37" i="7"/>
  <c r="G37" i="7"/>
  <c r="F37" i="7"/>
  <c r="L37" i="7" s="1"/>
  <c r="J36" i="6"/>
  <c r="J36" i="7" s="1"/>
  <c r="I36" i="7"/>
  <c r="H36" i="7"/>
  <c r="G36" i="7"/>
  <c r="F36" i="7"/>
  <c r="J35" i="6"/>
  <c r="I35" i="6"/>
  <c r="H35" i="6"/>
  <c r="G35" i="7"/>
  <c r="F35" i="7"/>
  <c r="L35" i="7" s="1"/>
  <c r="E38" i="7"/>
  <c r="D38" i="7"/>
  <c r="C38" i="7"/>
  <c r="B38" i="7"/>
  <c r="A38" i="7"/>
  <c r="E37" i="7"/>
  <c r="D37" i="7"/>
  <c r="C37" i="7"/>
  <c r="B37" i="7"/>
  <c r="E36" i="7"/>
  <c r="D36" i="7"/>
  <c r="C36" i="7"/>
  <c r="B36" i="7"/>
  <c r="A36" i="7"/>
  <c r="E35" i="6"/>
  <c r="E35" i="7" s="1"/>
  <c r="D35" i="6"/>
  <c r="D35" i="7" s="1"/>
  <c r="C35" i="6"/>
  <c r="C35" i="7" s="1"/>
  <c r="B35" i="6"/>
  <c r="B35" i="7" s="1"/>
  <c r="A35" i="6"/>
  <c r="L35" i="6" s="1"/>
  <c r="Z19" i="6"/>
  <c r="Z19" i="7" s="1"/>
  <c r="Z18" i="6"/>
  <c r="Z18" i="7" s="1"/>
  <c r="Z17" i="6"/>
  <c r="Z17" i="7" s="1"/>
  <c r="Z16" i="6"/>
  <c r="Z16" i="7" s="1"/>
  <c r="Z15" i="6"/>
  <c r="Z15" i="7" s="1"/>
  <c r="M19" i="6"/>
  <c r="M19" i="7" s="1"/>
  <c r="M18" i="6"/>
  <c r="M18" i="7" s="1"/>
  <c r="M16" i="6"/>
  <c r="M15" i="6"/>
  <c r="M15" i="7" s="1"/>
  <c r="L36" i="7" l="1"/>
  <c r="L38" i="7"/>
  <c r="M16" i="7"/>
  <c r="P30" i="7"/>
  <c r="G34" i="10" s="1"/>
  <c r="G33" i="10"/>
  <c r="P29" i="7"/>
  <c r="F34" i="10" s="1"/>
  <c r="F33" i="10"/>
  <c r="H49" i="6"/>
  <c r="Q35" i="7"/>
  <c r="H35" i="7"/>
  <c r="H40" i="7" s="1"/>
  <c r="H44" i="7" s="1"/>
  <c r="H40" i="6"/>
  <c r="R35" i="7"/>
  <c r="I35" i="7"/>
  <c r="I40" i="7" s="1"/>
  <c r="I40" i="6"/>
  <c r="S35" i="7"/>
  <c r="J35" i="7"/>
  <c r="J40" i="7" s="1"/>
  <c r="J40" i="6"/>
  <c r="T35" i="7"/>
  <c r="K43" i="6"/>
  <c r="W29" i="7"/>
  <c r="F40" i="6"/>
  <c r="F44" i="6" s="1"/>
  <c r="F40" i="7"/>
  <c r="F44" i="7" s="1"/>
  <c r="F40" i="1"/>
  <c r="F44" i="1" s="1"/>
  <c r="K39" i="6"/>
  <c r="K39" i="7"/>
  <c r="K39" i="1"/>
  <c r="A26" i="6"/>
  <c r="A25" i="6"/>
  <c r="A26" i="7"/>
  <c r="A25" i="7"/>
  <c r="Z30" i="7"/>
  <c r="Z29" i="7"/>
  <c r="Z30" i="6"/>
  <c r="Z29" i="6"/>
  <c r="A45" i="7"/>
  <c r="A45" i="6"/>
  <c r="A31" i="7"/>
  <c r="A31" i="6"/>
  <c r="A27" i="7"/>
  <c r="A27" i="6"/>
  <c r="Z28" i="7"/>
  <c r="Z28" i="6"/>
  <c r="W28" i="7"/>
  <c r="W28" i="6"/>
  <c r="T30" i="7"/>
  <c r="T30" i="6"/>
  <c r="T28" i="7"/>
  <c r="T28" i="6"/>
  <c r="A29" i="7"/>
  <c r="A29" i="6"/>
  <c r="N30" i="7"/>
  <c r="N30" i="6"/>
  <c r="N29" i="7"/>
  <c r="N29" i="6"/>
  <c r="Q28" i="7"/>
  <c r="Q28" i="6"/>
  <c r="Z26" i="6"/>
  <c r="Z26" i="7" s="1"/>
  <c r="Z25" i="6"/>
  <c r="Z25" i="7" s="1"/>
  <c r="Y26" i="6"/>
  <c r="Y26" i="7" s="1"/>
  <c r="W26" i="6"/>
  <c r="W26" i="7" s="1"/>
  <c r="V26" i="6"/>
  <c r="V26" i="7" s="1"/>
  <c r="U26" i="6"/>
  <c r="U26" i="7" s="1"/>
  <c r="T26" i="6"/>
  <c r="T26" i="7" s="1"/>
  <c r="S26" i="7"/>
  <c r="W25" i="6"/>
  <c r="W25" i="7" s="1"/>
  <c r="S25" i="7"/>
  <c r="Q26" i="6"/>
  <c r="Q26" i="7" s="1"/>
  <c r="P26" i="6"/>
  <c r="P26" i="7" s="1"/>
  <c r="O26" i="6"/>
  <c r="O26" i="7" s="1"/>
  <c r="N26" i="6"/>
  <c r="N26" i="7" s="1"/>
  <c r="M26" i="6"/>
  <c r="M26" i="7" s="1"/>
  <c r="L26" i="6"/>
  <c r="L26" i="7" s="1"/>
  <c r="K26" i="6"/>
  <c r="K26" i="7" s="1"/>
  <c r="J26" i="6"/>
  <c r="J26" i="7" s="1"/>
  <c r="I26" i="6"/>
  <c r="I26" i="7" s="1"/>
  <c r="H26" i="6"/>
  <c r="H26" i="7" s="1"/>
  <c r="G26" i="6"/>
  <c r="G26" i="7" s="1"/>
  <c r="F26" i="6"/>
  <c r="F26" i="7" s="1"/>
  <c r="E26" i="6"/>
  <c r="E26" i="7" s="1"/>
  <c r="D26" i="6"/>
  <c r="D26" i="7" s="1"/>
  <c r="C26" i="6"/>
  <c r="C26" i="7" s="1"/>
  <c r="B26" i="6"/>
  <c r="B26" i="7" s="1"/>
  <c r="Q25" i="6"/>
  <c r="Q25" i="7" s="1"/>
  <c r="P25" i="7"/>
  <c r="O25" i="6"/>
  <c r="O25" i="7" s="1"/>
  <c r="N25" i="6"/>
  <c r="N25" i="7" s="1"/>
  <c r="M25" i="6"/>
  <c r="M25" i="7" s="1"/>
  <c r="L25" i="6"/>
  <c r="L25" i="7" s="1"/>
  <c r="K25" i="6"/>
  <c r="K25" i="7" s="1"/>
  <c r="J25" i="6"/>
  <c r="J25" i="7" s="1"/>
  <c r="I25" i="7"/>
  <c r="H25" i="7"/>
  <c r="G25" i="7"/>
  <c r="E25" i="6"/>
  <c r="E25" i="7" s="1"/>
  <c r="D25" i="6"/>
  <c r="D25" i="7" s="1"/>
  <c r="C25" i="7"/>
  <c r="J44" i="7" l="1"/>
  <c r="S40" i="7"/>
  <c r="S40" i="6"/>
  <c r="J44" i="6"/>
  <c r="R40" i="6"/>
  <c r="I44" i="6"/>
  <c r="I44" i="7"/>
  <c r="R40" i="7"/>
  <c r="Q40" i="6"/>
  <c r="H44" i="6"/>
  <c r="B25" i="7"/>
  <c r="CM30" i="6"/>
  <c r="W30" i="6" s="1"/>
  <c r="H49" i="7"/>
  <c r="F25" i="7"/>
  <c r="AC30" i="6"/>
  <c r="Q40" i="7"/>
  <c r="O19" i="6"/>
  <c r="O18" i="6"/>
  <c r="O17" i="6"/>
  <c r="O16" i="6"/>
  <c r="O15" i="6"/>
  <c r="O19" i="7"/>
  <c r="O18" i="7"/>
  <c r="O17" i="7"/>
  <c r="O16" i="7"/>
  <c r="O15" i="7"/>
  <c r="B19" i="6"/>
  <c r="B18" i="6"/>
  <c r="B16" i="6"/>
  <c r="B19" i="7"/>
  <c r="B18" i="7"/>
  <c r="B16" i="7"/>
  <c r="B15" i="6"/>
  <c r="B15" i="7"/>
  <c r="AC30" i="7" l="1"/>
  <c r="CM30" i="7"/>
  <c r="W30" i="7" s="1"/>
  <c r="U41" i="6"/>
  <c r="G28" i="10" s="1"/>
  <c r="U41" i="7"/>
  <c r="G29" i="10" s="1"/>
  <c r="U41" i="1"/>
  <c r="G27" i="10" s="1"/>
  <c r="A4" i="6" l="1"/>
  <c r="C42" i="10"/>
  <c r="F43" i="10"/>
  <c r="G43" i="10"/>
  <c r="E43" i="10"/>
  <c r="D43" i="10"/>
  <c r="C43" i="10"/>
  <c r="W52" i="7"/>
  <c r="T52" i="7" s="1"/>
  <c r="J52" i="7"/>
  <c r="Q52" i="7" s="1"/>
  <c r="W51" i="7"/>
  <c r="T51" i="7" s="1"/>
  <c r="S50" i="7"/>
  <c r="W50" i="7" s="1"/>
  <c r="W49" i="7"/>
  <c r="T49" i="7" s="1"/>
  <c r="S48" i="7"/>
  <c r="L48" i="7"/>
  <c r="K48" i="7"/>
  <c r="W52" i="6"/>
  <c r="T52" i="6" s="1"/>
  <c r="J52" i="6"/>
  <c r="Q52" i="6" s="1"/>
  <c r="W51" i="6"/>
  <c r="T51" i="6" s="1"/>
  <c r="S50" i="6"/>
  <c r="W50" i="6" s="1"/>
  <c r="W49" i="6"/>
  <c r="T49" i="6" s="1"/>
  <c r="S48" i="6"/>
  <c r="L48" i="6"/>
  <c r="K48" i="6"/>
  <c r="W52" i="1"/>
  <c r="T52" i="1" s="1"/>
  <c r="W51" i="1"/>
  <c r="T51" i="1" s="1"/>
  <c r="W49" i="1"/>
  <c r="T49" i="1" s="1"/>
  <c r="S50" i="1"/>
  <c r="W50" i="1" s="1"/>
  <c r="R50" i="1"/>
  <c r="S48" i="1"/>
  <c r="J52" i="1"/>
  <c r="Q52" i="1" s="1"/>
  <c r="M50" i="6"/>
  <c r="M50" i="7" s="1"/>
  <c r="I51" i="1"/>
  <c r="Q51" i="1" s="1"/>
  <c r="I51" i="6"/>
  <c r="Q51" i="6" s="1"/>
  <c r="I50" i="7"/>
  <c r="Q50" i="7" l="1"/>
  <c r="U52" i="6"/>
  <c r="F45" i="10" s="1"/>
  <c r="U52" i="7"/>
  <c r="F46" i="10" s="1"/>
  <c r="U52" i="1"/>
  <c r="F44" i="10" s="1"/>
  <c r="U51" i="6"/>
  <c r="E45" i="10" s="1"/>
  <c r="T50" i="1"/>
  <c r="I50" i="6"/>
  <c r="Q50" i="6" s="1"/>
  <c r="I51" i="7"/>
  <c r="Q51" i="7" s="1"/>
  <c r="U51" i="7" s="1"/>
  <c r="E46" i="10" s="1"/>
  <c r="U51" i="1"/>
  <c r="E44" i="10" s="1"/>
  <c r="I50" i="1"/>
  <c r="Q50" i="1" s="1"/>
  <c r="C36" i="10"/>
  <c r="C31" i="10"/>
  <c r="C25" i="10"/>
  <c r="G23" i="10"/>
  <c r="D23" i="10"/>
  <c r="E23" i="10"/>
  <c r="C23" i="10"/>
  <c r="G22" i="10"/>
  <c r="D22" i="10"/>
  <c r="E22" i="10"/>
  <c r="C22" i="10"/>
  <c r="D21" i="10"/>
  <c r="E21" i="10"/>
  <c r="C21" i="10"/>
  <c r="G21" i="10"/>
  <c r="G20" i="10"/>
  <c r="D20" i="10"/>
  <c r="D26" i="10" s="1"/>
  <c r="E20" i="10"/>
  <c r="E26" i="10" s="1"/>
  <c r="F20" i="10"/>
  <c r="F26" i="10" s="1"/>
  <c r="C20" i="10"/>
  <c r="C26" i="10" s="1"/>
  <c r="D17" i="10"/>
  <c r="C17" i="10"/>
  <c r="D16" i="10"/>
  <c r="C16" i="10"/>
  <c r="D15" i="10"/>
  <c r="C15" i="10"/>
  <c r="D14" i="10"/>
  <c r="C14" i="10"/>
  <c r="G8" i="10"/>
  <c r="F8" i="10"/>
  <c r="B11" i="10"/>
  <c r="B17" i="10" s="1"/>
  <c r="B10" i="10"/>
  <c r="B22" i="10" s="1"/>
  <c r="B28" i="10" s="1"/>
  <c r="B9" i="10"/>
  <c r="B15" i="10" s="1"/>
  <c r="U50" i="1" l="1"/>
  <c r="D44" i="10" s="1"/>
  <c r="B39" i="10"/>
  <c r="B45" i="10" s="1"/>
  <c r="B33" i="10"/>
  <c r="E33" i="10" s="1"/>
  <c r="B16" i="10"/>
  <c r="B21" i="10"/>
  <c r="B27" i="10" s="1"/>
  <c r="B23" i="10"/>
  <c r="B29" i="10" s="1"/>
  <c r="K38" i="7"/>
  <c r="AA30" i="7"/>
  <c r="O42" i="7"/>
  <c r="K43" i="7"/>
  <c r="O41" i="7"/>
  <c r="L42" i="7"/>
  <c r="E29" i="10"/>
  <c r="D29" i="10"/>
  <c r="C29" i="10"/>
  <c r="O40" i="7"/>
  <c r="T37" i="7"/>
  <c r="S37" i="7"/>
  <c r="R37" i="7"/>
  <c r="Q37" i="7"/>
  <c r="K37" i="7"/>
  <c r="K36" i="7"/>
  <c r="U35" i="7"/>
  <c r="U40" i="7" s="1"/>
  <c r="K35" i="7"/>
  <c r="AE29" i="7"/>
  <c r="AX26" i="7"/>
  <c r="AT26" i="7"/>
  <c r="AO26" i="7"/>
  <c r="AN26" i="7"/>
  <c r="AZ26" i="7" s="1"/>
  <c r="AL26" i="7"/>
  <c r="AK26" i="7"/>
  <c r="AJ26" i="7"/>
  <c r="AI26" i="7"/>
  <c r="AP26" i="7" s="1"/>
  <c r="BW26" i="7"/>
  <c r="AX25" i="7"/>
  <c r="AT25" i="7"/>
  <c r="Z34" i="7" s="1"/>
  <c r="H11" i="10" s="1"/>
  <c r="AO25" i="7"/>
  <c r="AN25" i="7"/>
  <c r="AZ25" i="7" s="1"/>
  <c r="AL25" i="7"/>
  <c r="AK25" i="7"/>
  <c r="AJ25" i="7"/>
  <c r="AI25" i="7"/>
  <c r="AP25" i="7" s="1"/>
  <c r="R50" i="7"/>
  <c r="T50" i="7" s="1"/>
  <c r="U50" i="7" s="1"/>
  <c r="D46" i="10" s="1"/>
  <c r="BW24" i="7"/>
  <c r="AS24" i="7"/>
  <c r="BD24" i="7" s="1"/>
  <c r="AR24" i="7"/>
  <c r="BC24" i="7" s="1"/>
  <c r="BP23" i="7"/>
  <c r="AR23" i="7"/>
  <c r="BC23" i="7" s="1"/>
  <c r="AH22" i="7"/>
  <c r="AG22" i="7"/>
  <c r="AF22" i="7"/>
  <c r="AE22" i="7"/>
  <c r="AD22" i="7"/>
  <c r="AC22" i="7"/>
  <c r="AB22" i="7"/>
  <c r="AE3" i="7"/>
  <c r="AE25" i="7" s="1"/>
  <c r="AD3" i="7"/>
  <c r="AG26" i="7" s="1"/>
  <c r="AB3" i="7"/>
  <c r="AG2" i="7"/>
  <c r="AG3" i="7" s="1"/>
  <c r="L30" i="6"/>
  <c r="L30" i="7" s="1"/>
  <c r="BW26" i="6"/>
  <c r="R50" i="6"/>
  <c r="T50" i="6" s="1"/>
  <c r="U50" i="6" s="1"/>
  <c r="D45" i="10" s="1"/>
  <c r="AA30" i="6"/>
  <c r="O42" i="6"/>
  <c r="O41" i="6"/>
  <c r="L42" i="6"/>
  <c r="E28" i="10"/>
  <c r="D28" i="10"/>
  <c r="C28" i="10"/>
  <c r="O40" i="6"/>
  <c r="K38" i="6"/>
  <c r="T37" i="6"/>
  <c r="S37" i="6"/>
  <c r="R37" i="6"/>
  <c r="Q37" i="6"/>
  <c r="K37" i="6"/>
  <c r="K36" i="6"/>
  <c r="U35" i="6"/>
  <c r="U40" i="6" s="1"/>
  <c r="K35" i="6"/>
  <c r="AE29" i="6"/>
  <c r="BM26" i="6"/>
  <c r="AX26" i="6"/>
  <c r="AT26" i="6"/>
  <c r="AO26" i="6"/>
  <c r="AN26" i="6"/>
  <c r="AZ26" i="6" s="1"/>
  <c r="AL26" i="6"/>
  <c r="AK26" i="6"/>
  <c r="AJ26" i="6"/>
  <c r="AI26" i="6"/>
  <c r="AQ26" i="6" s="1"/>
  <c r="AX25" i="6"/>
  <c r="AT25" i="6"/>
  <c r="Z34" i="6" s="1"/>
  <c r="H10" i="10" s="1"/>
  <c r="AO25" i="6"/>
  <c r="AN25" i="6"/>
  <c r="AZ25" i="6" s="1"/>
  <c r="AL25" i="6"/>
  <c r="AK25" i="6"/>
  <c r="AJ25" i="6"/>
  <c r="AI25" i="6"/>
  <c r="AQ25" i="6" s="1"/>
  <c r="BW24" i="6"/>
  <c r="AS24" i="6"/>
  <c r="BD24" i="6" s="1"/>
  <c r="AR24" i="6"/>
  <c r="BC24" i="6" s="1"/>
  <c r="BP23" i="6"/>
  <c r="AR23" i="6"/>
  <c r="BC23" i="6" s="1"/>
  <c r="AH22" i="6"/>
  <c r="AG22" i="6"/>
  <c r="AF22" i="6"/>
  <c r="AE22" i="6"/>
  <c r="AD22" i="6"/>
  <c r="AC22" i="6"/>
  <c r="AB22" i="6"/>
  <c r="AE3" i="6"/>
  <c r="AE25" i="6" s="1"/>
  <c r="AF25" i="6" s="1"/>
  <c r="AF26" i="6" s="1"/>
  <c r="AD3" i="6"/>
  <c r="AG26" i="6" s="1"/>
  <c r="AB3" i="6"/>
  <c r="AG2" i="6"/>
  <c r="AG3" i="6" s="1"/>
  <c r="K35" i="1"/>
  <c r="K40" i="7" l="1"/>
  <c r="K40" i="6"/>
  <c r="R25" i="7"/>
  <c r="X26" i="7"/>
  <c r="R26" i="7"/>
  <c r="X33" i="6"/>
  <c r="X33" i="7"/>
  <c r="Y33" i="6"/>
  <c r="Y33" i="7"/>
  <c r="M40" i="7"/>
  <c r="M40" i="6"/>
  <c r="BM25" i="6"/>
  <c r="U37" i="6"/>
  <c r="BN25" i="6"/>
  <c r="BV25" i="6" s="1"/>
  <c r="BN26" i="6"/>
  <c r="BV26" i="6" s="1"/>
  <c r="BW25" i="6"/>
  <c r="D29" i="6"/>
  <c r="D39" i="10" s="1"/>
  <c r="AG25" i="6"/>
  <c r="L41" i="6"/>
  <c r="AF25" i="7"/>
  <c r="AF26" i="7" s="1"/>
  <c r="AP26" i="6"/>
  <c r="F22" i="10"/>
  <c r="H22" i="10" s="1"/>
  <c r="F23" i="10"/>
  <c r="H23" i="10" s="1"/>
  <c r="AD30" i="6"/>
  <c r="AG25" i="7"/>
  <c r="B34" i="10"/>
  <c r="E34" i="10" s="1"/>
  <c r="B40" i="10"/>
  <c r="B46" i="10" s="1"/>
  <c r="AP25" i="6"/>
  <c r="B32" i="10"/>
  <c r="E32" i="10" s="1"/>
  <c r="B38" i="10"/>
  <c r="B44" i="10" s="1"/>
  <c r="AQ25" i="7"/>
  <c r="AR25" i="7" s="1"/>
  <c r="X34" i="7" s="1"/>
  <c r="F11" i="10" s="1"/>
  <c r="AD30" i="7"/>
  <c r="L41" i="7"/>
  <c r="AQ26" i="7"/>
  <c r="AS26" i="7" s="1"/>
  <c r="D29" i="7"/>
  <c r="D40" i="10" s="1"/>
  <c r="BW25" i="7"/>
  <c r="BN25" i="7"/>
  <c r="BM25" i="7"/>
  <c r="AE26" i="7"/>
  <c r="BN26" i="7"/>
  <c r="BM26" i="7"/>
  <c r="U37" i="7"/>
  <c r="AB25" i="7"/>
  <c r="AD25" i="7"/>
  <c r="AD26" i="7"/>
  <c r="AE26" i="6"/>
  <c r="AS25" i="6"/>
  <c r="AR25" i="6"/>
  <c r="X34" i="6" s="1"/>
  <c r="F10" i="10" s="1"/>
  <c r="AS26" i="6"/>
  <c r="AR26" i="6"/>
  <c r="AB25" i="6"/>
  <c r="AD25" i="6"/>
  <c r="AD26" i="6"/>
  <c r="AE29" i="1"/>
  <c r="K43" i="1"/>
  <c r="K36" i="1"/>
  <c r="K37" i="1"/>
  <c r="K38" i="1"/>
  <c r="D27" i="10"/>
  <c r="E27" i="10"/>
  <c r="C27" i="10"/>
  <c r="O41" i="1"/>
  <c r="G26" i="10" s="1"/>
  <c r="O42" i="1"/>
  <c r="O40" i="1"/>
  <c r="U35" i="1"/>
  <c r="U40" i="1" s="1"/>
  <c r="R37" i="1"/>
  <c r="S37" i="1"/>
  <c r="T37" i="1"/>
  <c r="Q37" i="1"/>
  <c r="R34" i="1"/>
  <c r="S34" i="1"/>
  <c r="T34" i="1"/>
  <c r="Q34" i="1"/>
  <c r="AA30" i="1"/>
  <c r="L42" i="1"/>
  <c r="I24" i="1"/>
  <c r="G24" i="1"/>
  <c r="F24" i="1"/>
  <c r="T40" i="7" l="1"/>
  <c r="F29" i="10" s="1"/>
  <c r="K44" i="7"/>
  <c r="U42" i="7" s="1"/>
  <c r="H29" i="10" s="1"/>
  <c r="T40" i="6"/>
  <c r="F28" i="10" s="1"/>
  <c r="K44" i="6"/>
  <c r="U42" i="6" s="1"/>
  <c r="H28" i="10" s="1"/>
  <c r="BO26" i="6"/>
  <c r="BP26" i="6" s="1"/>
  <c r="BQ26" i="6" s="1"/>
  <c r="BX26" i="6" s="1"/>
  <c r="BA26" i="6" s="1"/>
  <c r="K40" i="1"/>
  <c r="R25" i="6"/>
  <c r="X26" i="6"/>
  <c r="AY26" i="6" s="1"/>
  <c r="BF26" i="6" s="1"/>
  <c r="R26" i="6"/>
  <c r="BT26" i="6"/>
  <c r="S34" i="6"/>
  <c r="S34" i="7"/>
  <c r="R34" i="7"/>
  <c r="R34" i="6"/>
  <c r="M40" i="1"/>
  <c r="Q34" i="7"/>
  <c r="Q34" i="6"/>
  <c r="T34" i="6"/>
  <c r="T34" i="7"/>
  <c r="M24" i="1"/>
  <c r="Q24" i="1" s="1"/>
  <c r="J24" i="1"/>
  <c r="N24" i="1" s="1"/>
  <c r="K24" i="1"/>
  <c r="O24" i="1" s="1"/>
  <c r="BS25" i="6"/>
  <c r="BR25" i="6"/>
  <c r="BU25" i="6"/>
  <c r="BS26" i="6"/>
  <c r="BR26" i="6"/>
  <c r="BE26" i="6" s="1"/>
  <c r="AS25" i="7"/>
  <c r="Y34" i="7" s="1"/>
  <c r="G11" i="10" s="1"/>
  <c r="BT25" i="6"/>
  <c r="BO25" i="6"/>
  <c r="BP25" i="6" s="1"/>
  <c r="BQ25" i="6" s="1"/>
  <c r="BX25" i="6" s="1"/>
  <c r="BA25" i="6" s="1"/>
  <c r="AU26" i="6"/>
  <c r="BU26" i="6"/>
  <c r="AR26" i="7"/>
  <c r="AU26" i="7" s="1"/>
  <c r="F21" i="10"/>
  <c r="H21" i="10" s="1"/>
  <c r="AU25" i="6"/>
  <c r="Y34" i="6"/>
  <c r="G10" i="10" s="1"/>
  <c r="BO25" i="7"/>
  <c r="BP25" i="7" s="1"/>
  <c r="BQ25" i="7" s="1"/>
  <c r="BX25" i="7" s="1"/>
  <c r="BA25" i="7" s="1"/>
  <c r="BV25" i="7"/>
  <c r="BU25" i="7"/>
  <c r="BT25" i="7"/>
  <c r="BR25" i="7"/>
  <c r="BS25" i="7"/>
  <c r="BV26" i="7"/>
  <c r="BU26" i="7"/>
  <c r="BT26" i="7"/>
  <c r="BS26" i="7"/>
  <c r="AY26" i="7"/>
  <c r="BO26" i="7"/>
  <c r="BP26" i="7" s="1"/>
  <c r="BQ26" i="7" s="1"/>
  <c r="BX26" i="7" s="1"/>
  <c r="BA26" i="7" s="1"/>
  <c r="BR26" i="7"/>
  <c r="AB26" i="7"/>
  <c r="AC25" i="7"/>
  <c r="AC26" i="7" s="1"/>
  <c r="AC25" i="6"/>
  <c r="AC26" i="6" s="1"/>
  <c r="AB26" i="6"/>
  <c r="U37" i="1"/>
  <c r="L41" i="1"/>
  <c r="K44" i="1" l="1"/>
  <c r="U42" i="1" s="1"/>
  <c r="H27" i="10" s="1"/>
  <c r="T40" i="1"/>
  <c r="F27" i="10" s="1"/>
  <c r="E29" i="6"/>
  <c r="E39" i="10" s="1"/>
  <c r="AU25" i="7"/>
  <c r="BE25" i="6"/>
  <c r="I29" i="6" s="1"/>
  <c r="I39" i="10" s="1"/>
  <c r="P39" i="10" s="1"/>
  <c r="AB23" i="6"/>
  <c r="AB23" i="7"/>
  <c r="AE23" i="6"/>
  <c r="AE23" i="7"/>
  <c r="AH23" i="6"/>
  <c r="AG23" i="7"/>
  <c r="AD23" i="6"/>
  <c r="AD23" i="7"/>
  <c r="AM26" i="6"/>
  <c r="BB26" i="6" s="1"/>
  <c r="BD26" i="6" s="1"/>
  <c r="BE25" i="7"/>
  <c r="AM25" i="7"/>
  <c r="BB25" i="7" s="1"/>
  <c r="AM26" i="7"/>
  <c r="BB26" i="7" s="1"/>
  <c r="BE26" i="7"/>
  <c r="BF26" i="7"/>
  <c r="E29" i="7"/>
  <c r="E40" i="10" s="1"/>
  <c r="AH23" i="7"/>
  <c r="AG23" i="6"/>
  <c r="AM25" i="6"/>
  <c r="BB25" i="6" s="1"/>
  <c r="I29" i="7" l="1"/>
  <c r="I40" i="10" s="1"/>
  <c r="P40" i="10" s="1"/>
  <c r="BD26" i="7"/>
  <c r="BI26" i="6"/>
  <c r="BC26" i="6"/>
  <c r="BG26" i="6" s="1"/>
  <c r="BH26" i="6" s="1"/>
  <c r="BI26" i="7"/>
  <c r="BC26" i="7"/>
  <c r="F29" i="7"/>
  <c r="F40" i="10" s="1"/>
  <c r="Q40" i="10" s="1"/>
  <c r="F29" i="6"/>
  <c r="F39" i="10" s="1"/>
  <c r="Q39" i="10" s="1"/>
  <c r="L28" i="1"/>
  <c r="L28" i="7" l="1"/>
  <c r="L28" i="6"/>
  <c r="L37" i="10"/>
  <c r="S37" i="10" s="1"/>
  <c r="C37" i="10"/>
  <c r="M37" i="10" s="1"/>
  <c r="F37" i="10"/>
  <c r="BL26" i="6"/>
  <c r="BK26" i="6" s="1"/>
  <c r="K37" i="10"/>
  <c r="E37" i="10"/>
  <c r="J37" i="10"/>
  <c r="D37" i="10"/>
  <c r="I37" i="10"/>
  <c r="P37" i="10" s="1"/>
  <c r="BG26" i="7"/>
  <c r="BH26" i="7" s="1"/>
  <c r="AA26" i="6"/>
  <c r="AA26" i="7" l="1"/>
  <c r="BL26" i="7"/>
  <c r="BK26" i="7" s="1"/>
  <c r="AK26" i="1"/>
  <c r="AK25" i="1"/>
  <c r="AJ26" i="1"/>
  <c r="AJ25" i="1"/>
  <c r="AN26" i="1"/>
  <c r="AN25" i="1"/>
  <c r="AL26" i="1"/>
  <c r="AL25" i="1"/>
  <c r="AI25" i="1"/>
  <c r="AI26" i="1"/>
  <c r="AE3" i="1"/>
  <c r="AB3" i="1"/>
  <c r="AG2" i="1"/>
  <c r="AG3" i="1" s="1"/>
  <c r="AD3" i="1"/>
  <c r="AT26" i="1"/>
  <c r="AT25" i="1"/>
  <c r="Z34" i="1" s="1"/>
  <c r="H9" i="10" s="1"/>
  <c r="AR23" i="1"/>
  <c r="BC23" i="1" s="1"/>
  <c r="AS24" i="1"/>
  <c r="BD24" i="1" s="1"/>
  <c r="AR24" i="1"/>
  <c r="BC24" i="1" s="1"/>
  <c r="AO26" i="1"/>
  <c r="AO25" i="1"/>
  <c r="BW26" i="1"/>
  <c r="BW25" i="1"/>
  <c r="BW24" i="1"/>
  <c r="BP23" i="1"/>
  <c r="BN26" i="1"/>
  <c r="BS26" i="1" s="1"/>
  <c r="BN25" i="1"/>
  <c r="BT25" i="1" s="1"/>
  <c r="AD30" i="1" l="1"/>
  <c r="G37" i="10"/>
  <c r="N37" i="10" s="1"/>
  <c r="H37" i="10"/>
  <c r="O37" i="10" s="1"/>
  <c r="AD26" i="1"/>
  <c r="AB25" i="1"/>
  <c r="AC25" i="1" s="1"/>
  <c r="AC26" i="1" s="1"/>
  <c r="AE25" i="1"/>
  <c r="AE26" i="1" s="1"/>
  <c r="AG25" i="1"/>
  <c r="AG26" i="1"/>
  <c r="AD25" i="1"/>
  <c r="BU26" i="1"/>
  <c r="BV26" i="1"/>
  <c r="BT26" i="1"/>
  <c r="BO26" i="1"/>
  <c r="BP26" i="1" s="1"/>
  <c r="BQ26" i="1" s="1"/>
  <c r="BX26" i="1" s="1"/>
  <c r="BA26" i="1" s="1"/>
  <c r="BR26" i="1"/>
  <c r="BU25" i="1"/>
  <c r="BR25" i="1"/>
  <c r="BE25" i="1" s="1"/>
  <c r="BV25" i="1"/>
  <c r="BO25" i="1"/>
  <c r="BP25" i="1" s="1"/>
  <c r="BQ25" i="1" s="1"/>
  <c r="BX25" i="1" s="1"/>
  <c r="BA25" i="1" s="1"/>
  <c r="BS25" i="1"/>
  <c r="BM26" i="1"/>
  <c r="AX26" i="1"/>
  <c r="AZ26" i="1"/>
  <c r="AP26" i="1"/>
  <c r="R26" i="1" s="1"/>
  <c r="BM25" i="1"/>
  <c r="AX25" i="1"/>
  <c r="AZ25" i="1"/>
  <c r="AQ25" i="1"/>
  <c r="AE23" i="1"/>
  <c r="AB23" i="1"/>
  <c r="AH23" i="1"/>
  <c r="AG23" i="1"/>
  <c r="AD23" i="1"/>
  <c r="AH22" i="1"/>
  <c r="AG22" i="1"/>
  <c r="AF22" i="1"/>
  <c r="AE22" i="1"/>
  <c r="AD22" i="1"/>
  <c r="AC22" i="1"/>
  <c r="AB22" i="1"/>
  <c r="BM49" i="3"/>
  <c r="BL49" i="3"/>
  <c r="BM48" i="3"/>
  <c r="BL48" i="3"/>
  <c r="BM47" i="3"/>
  <c r="BL47" i="3"/>
  <c r="BM46" i="3"/>
  <c r="BL46" i="3"/>
  <c r="BM44" i="3"/>
  <c r="BL44" i="3"/>
  <c r="BM43" i="3"/>
  <c r="BL43" i="3"/>
  <c r="BM41" i="3"/>
  <c r="BR40" i="3"/>
  <c r="BM40" i="3"/>
  <c r="BM38" i="3"/>
  <c r="BL38" i="3"/>
  <c r="BM36" i="3"/>
  <c r="BR35" i="3"/>
  <c r="BM35" i="3"/>
  <c r="BM34" i="3"/>
  <c r="BL34" i="3"/>
  <c r="BM33" i="3"/>
  <c r="BL33" i="3"/>
  <c r="BM32" i="3"/>
  <c r="BL32" i="3"/>
  <c r="BM30" i="3"/>
  <c r="BL30" i="3"/>
  <c r="BM29" i="3"/>
  <c r="BL29" i="3"/>
  <c r="BM28" i="3"/>
  <c r="BL28" i="3"/>
  <c r="BM26" i="3"/>
  <c r="BL26" i="3"/>
  <c r="BM22" i="3"/>
  <c r="BL22" i="3"/>
  <c r="BM20" i="3"/>
  <c r="BR19" i="3"/>
  <c r="BM19" i="3"/>
  <c r="BM17" i="3"/>
  <c r="BL17" i="3"/>
  <c r="BM15" i="3"/>
  <c r="BM14" i="3"/>
  <c r="BR13" i="3"/>
  <c r="BM13" i="3"/>
  <c r="BM11" i="3"/>
  <c r="BM10" i="3"/>
  <c r="BR9" i="3"/>
  <c r="BM9" i="3"/>
  <c r="BA49" i="3"/>
  <c r="BA48" i="3"/>
  <c r="BA47" i="3"/>
  <c r="BA46" i="3"/>
  <c r="BA44" i="3"/>
  <c r="BA43" i="3"/>
  <c r="BA41" i="3"/>
  <c r="BA40" i="3"/>
  <c r="BA38" i="3"/>
  <c r="BA36" i="3"/>
  <c r="BA35" i="3"/>
  <c r="BA34" i="3"/>
  <c r="BA33" i="3"/>
  <c r="BA32" i="3"/>
  <c r="BA30" i="3"/>
  <c r="BA29" i="3"/>
  <c r="BA28" i="3"/>
  <c r="BA26" i="3"/>
  <c r="BA22" i="3"/>
  <c r="BA20" i="3"/>
  <c r="BA19" i="3"/>
  <c r="BA17" i="3"/>
  <c r="BA15" i="3"/>
  <c r="BA14" i="3"/>
  <c r="BA13" i="3"/>
  <c r="BA11" i="3"/>
  <c r="BA10" i="3"/>
  <c r="BA9" i="3"/>
  <c r="CK8" i="3"/>
  <c r="CJ8" i="3"/>
  <c r="CI8" i="3"/>
  <c r="CG8" i="3"/>
  <c r="CF8" i="3"/>
  <c r="CE8" i="3"/>
  <c r="CD8" i="3"/>
  <c r="CC8" i="3"/>
  <c r="CB8" i="3"/>
  <c r="CN8" i="3"/>
  <c r="CM8" i="3"/>
  <c r="CM7" i="3"/>
  <c r="CL7" i="3"/>
  <c r="CG7" i="3"/>
  <c r="CE7" i="3"/>
  <c r="CA49" i="3"/>
  <c r="BJ49" i="3"/>
  <c r="AZ49" i="3"/>
  <c r="BN49" i="3" s="1"/>
  <c r="AY49" i="3"/>
  <c r="AX49" i="3" a="1"/>
  <c r="AX49" i="3" s="1"/>
  <c r="AW49" i="3" a="1"/>
  <c r="AW49" i="3" s="1"/>
  <c r="AV49" i="3"/>
  <c r="BD49" i="3" s="1"/>
  <c r="AG49" i="3"/>
  <c r="CA48" i="3"/>
  <c r="BJ48" i="3"/>
  <c r="AZ48" i="3"/>
  <c r="BN48" i="3" s="1"/>
  <c r="AY48" i="3"/>
  <c r="AX48" i="3" a="1"/>
  <c r="AX48" i="3" s="1"/>
  <c r="AW48" i="3" a="1"/>
  <c r="AW48" i="3" s="1"/>
  <c r="AV48" i="3"/>
  <c r="BC48" i="3" s="1"/>
  <c r="AG48" i="3"/>
  <c r="CA47" i="3"/>
  <c r="BJ47" i="3"/>
  <c r="AZ47" i="3"/>
  <c r="BN47" i="3" s="1"/>
  <c r="AY47" i="3"/>
  <c r="AX47" i="3" a="1"/>
  <c r="AX47" i="3" s="1"/>
  <c r="AW47" i="3" a="1"/>
  <c r="AW47" i="3" s="1"/>
  <c r="AV47" i="3"/>
  <c r="BC47" i="3" s="1"/>
  <c r="CA46" i="3"/>
  <c r="CE46" i="3" s="1"/>
  <c r="BJ46" i="3"/>
  <c r="AZ46" i="3"/>
  <c r="BN46" i="3" s="1"/>
  <c r="AY46" i="3"/>
  <c r="AX46" i="3" a="1"/>
  <c r="AX46" i="3" s="1"/>
  <c r="AW46" i="3" a="1"/>
  <c r="AW46" i="3" s="1"/>
  <c r="AV46" i="3"/>
  <c r="BD46" i="3" s="1"/>
  <c r="CA44" i="3"/>
  <c r="CN44" i="3" s="1"/>
  <c r="BJ44" i="3"/>
  <c r="AZ44" i="3"/>
  <c r="BN44" i="3" s="1"/>
  <c r="AY44" i="3"/>
  <c r="AX44" i="3" a="1"/>
  <c r="AX44" i="3" s="1"/>
  <c r="AW44" i="3" a="1"/>
  <c r="AW44" i="3" s="1"/>
  <c r="AV44" i="3"/>
  <c r="BC44" i="3" s="1"/>
  <c r="AI44" i="3" s="1"/>
  <c r="CA43" i="3"/>
  <c r="CJ43" i="3" s="1"/>
  <c r="BJ43" i="3"/>
  <c r="AZ43" i="3"/>
  <c r="BN43" i="3" s="1"/>
  <c r="AY43" i="3"/>
  <c r="AX43" i="3" a="1"/>
  <c r="AX43" i="3" s="1"/>
  <c r="AW43" i="3" a="1"/>
  <c r="AW43" i="3" s="1"/>
  <c r="AV43" i="3"/>
  <c r="BD43" i="3" s="1"/>
  <c r="BE43" i="3" s="1"/>
  <c r="CA41" i="3"/>
  <c r="BJ41" i="3"/>
  <c r="AZ41" i="3"/>
  <c r="BN41" i="3" s="1"/>
  <c r="AY41" i="3"/>
  <c r="AX41" i="3" a="1"/>
  <c r="AX41" i="3" s="1"/>
  <c r="AW41" i="3" a="1"/>
  <c r="AW41" i="3" s="1"/>
  <c r="AV41" i="3"/>
  <c r="BC41" i="3" s="1"/>
  <c r="BH41" i="3" s="1"/>
  <c r="AE41" i="3"/>
  <c r="AC41" i="3"/>
  <c r="CA40" i="3"/>
  <c r="CL40" i="3" s="1"/>
  <c r="BJ40" i="3"/>
  <c r="AZ40" i="3"/>
  <c r="BN40" i="3" s="1"/>
  <c r="AY40" i="3"/>
  <c r="AX40" i="3" a="1"/>
  <c r="AX40" i="3" s="1"/>
  <c r="AW40" i="3" a="1"/>
  <c r="AW40" i="3" s="1"/>
  <c r="AV40" i="3"/>
  <c r="BC40" i="3" s="1"/>
  <c r="BH40" i="3" s="1"/>
  <c r="CA38" i="3"/>
  <c r="CJ38" i="3" s="1"/>
  <c r="BJ38" i="3"/>
  <c r="AZ38" i="3"/>
  <c r="BN38" i="3" s="1"/>
  <c r="AY38" i="3"/>
  <c r="AX38" i="3" a="1"/>
  <c r="AX38" i="3" s="1"/>
  <c r="AW38" i="3" a="1"/>
  <c r="AW38" i="3" s="1"/>
  <c r="AV38" i="3"/>
  <c r="BD38" i="3" s="1"/>
  <c r="CA36" i="3"/>
  <c r="CN36" i="3" s="1"/>
  <c r="BJ36" i="3"/>
  <c r="AZ36" i="3"/>
  <c r="BN36" i="3" s="1"/>
  <c r="AY36" i="3"/>
  <c r="AX36" i="3" a="1"/>
  <c r="AX36" i="3" s="1"/>
  <c r="AW36" i="3" a="1"/>
  <c r="AW36" i="3" s="1"/>
  <c r="AV36" i="3"/>
  <c r="BC36" i="3" s="1"/>
  <c r="BH36" i="3" s="1"/>
  <c r="AE36" i="3"/>
  <c r="AC36" i="3"/>
  <c r="CA35" i="3"/>
  <c r="CJ35" i="3" s="1"/>
  <c r="BJ35" i="3"/>
  <c r="AZ35" i="3"/>
  <c r="AY35" i="3"/>
  <c r="AX35" i="3" a="1"/>
  <c r="AX35" i="3" s="1"/>
  <c r="AW35" i="3" a="1"/>
  <c r="AW35" i="3" s="1"/>
  <c r="AV35" i="3"/>
  <c r="BD35" i="3" s="1"/>
  <c r="CA34" i="3"/>
  <c r="CL34" i="3" s="1"/>
  <c r="BJ34" i="3"/>
  <c r="AZ34" i="3"/>
  <c r="BN34" i="3" s="1"/>
  <c r="AY34" i="3"/>
  <c r="AX34" i="3" a="1"/>
  <c r="AX34" i="3" s="1"/>
  <c r="AW34" i="3" a="1"/>
  <c r="AW34" i="3" s="1"/>
  <c r="AV34" i="3"/>
  <c r="BD34" i="3" s="1"/>
  <c r="AG34" i="3"/>
  <c r="CA33" i="3"/>
  <c r="CJ33" i="3" s="1"/>
  <c r="BJ33" i="3"/>
  <c r="AZ33" i="3"/>
  <c r="BN33" i="3" s="1"/>
  <c r="AY33" i="3"/>
  <c r="AX33" i="3" a="1"/>
  <c r="AX33" i="3" s="1"/>
  <c r="AW33" i="3" a="1"/>
  <c r="AW33" i="3" s="1"/>
  <c r="AV33" i="3"/>
  <c r="BD33" i="3" s="1"/>
  <c r="BE33" i="3" s="1"/>
  <c r="CA32" i="3"/>
  <c r="CL32" i="3" s="1"/>
  <c r="BJ32" i="3"/>
  <c r="AZ32" i="3"/>
  <c r="BN32" i="3" s="1"/>
  <c r="AY32" i="3"/>
  <c r="AX32" i="3" a="1"/>
  <c r="AX32" i="3" s="1"/>
  <c r="AW32" i="3" a="1"/>
  <c r="AW32" i="3" s="1"/>
  <c r="AV32" i="3"/>
  <c r="BC32" i="3" s="1"/>
  <c r="CA30" i="3"/>
  <c r="CN30" i="3" s="1"/>
  <c r="BJ30" i="3"/>
  <c r="AZ30" i="3"/>
  <c r="BN30" i="3" s="1"/>
  <c r="AY30" i="3"/>
  <c r="AX30" i="3" a="1"/>
  <c r="AX30" i="3" s="1"/>
  <c r="AW30" i="3" a="1"/>
  <c r="AW30" i="3" s="1"/>
  <c r="AV30" i="3"/>
  <c r="BD30" i="3" s="1"/>
  <c r="CA29" i="3"/>
  <c r="CJ29" i="3" s="1"/>
  <c r="BJ29" i="3"/>
  <c r="AZ29" i="3"/>
  <c r="BN29" i="3" s="1"/>
  <c r="AY29" i="3"/>
  <c r="AX29" i="3" a="1"/>
  <c r="AX29" i="3" s="1"/>
  <c r="AW29" i="3" a="1"/>
  <c r="AW29" i="3" s="1"/>
  <c r="AV29" i="3"/>
  <c r="BC29" i="3" s="1"/>
  <c r="AG29" i="3"/>
  <c r="CA28" i="3"/>
  <c r="BJ28" i="3"/>
  <c r="AZ28" i="3"/>
  <c r="BN28" i="3" s="1"/>
  <c r="AY28" i="3"/>
  <c r="AX28" i="3" a="1"/>
  <c r="AX28" i="3" s="1"/>
  <c r="AW28" i="3" a="1"/>
  <c r="AW28" i="3" s="1"/>
  <c r="AV28" i="3"/>
  <c r="BC28" i="3" s="1"/>
  <c r="CA26" i="3"/>
  <c r="BJ26" i="3"/>
  <c r="AZ26" i="3"/>
  <c r="BN26" i="3" s="1"/>
  <c r="AY26" i="3"/>
  <c r="AX26" i="3" a="1"/>
  <c r="AX26" i="3" s="1"/>
  <c r="AW26" i="3" a="1"/>
  <c r="AW26" i="3" s="1"/>
  <c r="AV26" i="3"/>
  <c r="BD26" i="3" s="1"/>
  <c r="CA22" i="3"/>
  <c r="CM22" i="3" s="1"/>
  <c r="BJ22" i="3"/>
  <c r="AZ22" i="3"/>
  <c r="BN22" i="3" s="1"/>
  <c r="AY22" i="3"/>
  <c r="AX22" i="3" a="1"/>
  <c r="AX22" i="3" s="1"/>
  <c r="AW22" i="3" a="1"/>
  <c r="AW22" i="3" s="1"/>
  <c r="AV22" i="3"/>
  <c r="BC22" i="3" s="1"/>
  <c r="BH22" i="3" s="1"/>
  <c r="CA20" i="3"/>
  <c r="CM20" i="3" s="1"/>
  <c r="BJ20" i="3"/>
  <c r="AZ20" i="3"/>
  <c r="BN20" i="3" s="1"/>
  <c r="AY20" i="3"/>
  <c r="AX20" i="3" a="1"/>
  <c r="AX20" i="3" s="1"/>
  <c r="AW20" i="3" a="1"/>
  <c r="AW20" i="3" s="1"/>
  <c r="AV20" i="3"/>
  <c r="BC20" i="3" s="1"/>
  <c r="BH20" i="3" s="1"/>
  <c r="AE20" i="3"/>
  <c r="AC20" i="3"/>
  <c r="CA19" i="3"/>
  <c r="CM19" i="3" s="1"/>
  <c r="BJ19" i="3"/>
  <c r="AZ19" i="3"/>
  <c r="AY19" i="3"/>
  <c r="AX19" i="3" a="1"/>
  <c r="AX19" i="3" s="1"/>
  <c r="AW19" i="3" a="1"/>
  <c r="AW19" i="3" s="1"/>
  <c r="AV19" i="3"/>
  <c r="BD19" i="3" s="1"/>
  <c r="CA17" i="3"/>
  <c r="CM17" i="3" s="1"/>
  <c r="BJ17" i="3"/>
  <c r="AZ17" i="3"/>
  <c r="BN17" i="3" s="1"/>
  <c r="AY17" i="3"/>
  <c r="AX17" i="3" a="1"/>
  <c r="AX17" i="3" s="1"/>
  <c r="AW17" i="3" a="1"/>
  <c r="AW17" i="3" s="1"/>
  <c r="AV17" i="3"/>
  <c r="BD17" i="3" s="1"/>
  <c r="BE17" i="3" s="1"/>
  <c r="CA15" i="3"/>
  <c r="CM15" i="3" s="1"/>
  <c r="BJ15" i="3"/>
  <c r="AZ15" i="3"/>
  <c r="BN15" i="3" s="1"/>
  <c r="AY15" i="3"/>
  <c r="AX15" i="3" a="1"/>
  <c r="AX15" i="3" s="1"/>
  <c r="AW15" i="3" a="1"/>
  <c r="AW15" i="3" s="1"/>
  <c r="AV15" i="3"/>
  <c r="BC15" i="3" s="1"/>
  <c r="BH15" i="3" s="1"/>
  <c r="AE15" i="3"/>
  <c r="AC15" i="3"/>
  <c r="CA14" i="3"/>
  <c r="CM14" i="3" s="1"/>
  <c r="BJ14" i="3"/>
  <c r="AZ14" i="3"/>
  <c r="BN14" i="3" s="1"/>
  <c r="AY14" i="3"/>
  <c r="AX14" i="3" a="1"/>
  <c r="AX14" i="3" s="1"/>
  <c r="AW14" i="3" a="1"/>
  <c r="AW14" i="3" s="1"/>
  <c r="AV14" i="3"/>
  <c r="BC14" i="3" s="1"/>
  <c r="BH14" i="3" s="1"/>
  <c r="AE14" i="3"/>
  <c r="AC14" i="3"/>
  <c r="CA13" i="3"/>
  <c r="CM13" i="3" s="1"/>
  <c r="BJ13" i="3"/>
  <c r="AZ13" i="3"/>
  <c r="BN13" i="3" s="1"/>
  <c r="AY13" i="3"/>
  <c r="AX13" i="3" a="1"/>
  <c r="AX13" i="3" s="1"/>
  <c r="AW13" i="3" a="1"/>
  <c r="AW13" i="3" s="1"/>
  <c r="AV13" i="3"/>
  <c r="BD13" i="3" s="1"/>
  <c r="CA11" i="3"/>
  <c r="CM11" i="3" s="1"/>
  <c r="BJ11" i="3"/>
  <c r="AZ11" i="3"/>
  <c r="AY11" i="3"/>
  <c r="AX11" i="3" a="1"/>
  <c r="AX11" i="3" s="1"/>
  <c r="AW11" i="3" a="1"/>
  <c r="AW11" i="3" s="1"/>
  <c r="AV11" i="3"/>
  <c r="BD11" i="3" s="1"/>
  <c r="AE11" i="3"/>
  <c r="AC11" i="3"/>
  <c r="CA10" i="3"/>
  <c r="CM10" i="3" s="1"/>
  <c r="BJ10" i="3"/>
  <c r="AZ10" i="3"/>
  <c r="BN10" i="3" s="1"/>
  <c r="AY10" i="3"/>
  <c r="AX10" i="3" a="1"/>
  <c r="AX10" i="3" s="1"/>
  <c r="AW10" i="3" a="1"/>
  <c r="AW10" i="3" s="1"/>
  <c r="AV10" i="3"/>
  <c r="BE10" i="3" s="1"/>
  <c r="AE10" i="3"/>
  <c r="AC10" i="3"/>
  <c r="CA9" i="3"/>
  <c r="CM9" i="3" s="1"/>
  <c r="BJ9" i="3"/>
  <c r="AZ9" i="3"/>
  <c r="BN9" i="3" s="1"/>
  <c r="AY9" i="3"/>
  <c r="AX9" i="3" a="1"/>
  <c r="AX9" i="3" s="1"/>
  <c r="AW9" i="3" a="1"/>
  <c r="AW9" i="3" s="1"/>
  <c r="AV9" i="3"/>
  <c r="BE9" i="3" s="1"/>
  <c r="BM8" i="3"/>
  <c r="BL8" i="3"/>
  <c r="X8" i="3"/>
  <c r="W8" i="3"/>
  <c r="V8" i="3"/>
  <c r="R8" i="3"/>
  <c r="AS7" i="3" s="1"/>
  <c r="Q8" i="3"/>
  <c r="AR7" i="3" s="1"/>
  <c r="N8" i="3"/>
  <c r="AP7" i="3" s="1"/>
  <c r="M8" i="3"/>
  <c r="AO7" i="3" s="1"/>
  <c r="BL7" i="3"/>
  <c r="BE7" i="3"/>
  <c r="AU7" i="3"/>
  <c r="AT7" i="3"/>
  <c r="AQ7" i="3"/>
  <c r="AU6" i="3"/>
  <c r="AT6" i="3"/>
  <c r="AS6" i="3"/>
  <c r="AR6" i="3"/>
  <c r="AQ6" i="3"/>
  <c r="AP6" i="3"/>
  <c r="AO6" i="3"/>
  <c r="AJ2" i="3"/>
  <c r="BF15" i="3" l="1"/>
  <c r="BF47" i="3"/>
  <c r="AF20" i="3"/>
  <c r="BO36" i="3"/>
  <c r="BD32" i="3"/>
  <c r="BE32" i="3" s="1"/>
  <c r="AF36" i="3"/>
  <c r="BF29" i="3"/>
  <c r="BO44" i="3"/>
  <c r="BF32" i="3"/>
  <c r="BF33" i="3"/>
  <c r="BG33" i="3" s="1"/>
  <c r="BF34" i="3"/>
  <c r="BF38" i="3"/>
  <c r="BF46" i="3"/>
  <c r="BF20" i="3"/>
  <c r="BF13" i="3"/>
  <c r="AB26" i="1"/>
  <c r="D29" i="1"/>
  <c r="D38" i="10" s="1"/>
  <c r="AF25" i="1"/>
  <c r="AF26" i="1" s="1"/>
  <c r="E29" i="1"/>
  <c r="E38" i="10" s="1"/>
  <c r="BD40" i="3"/>
  <c r="BE13" i="3"/>
  <c r="BD15" i="3"/>
  <c r="BF19" i="3"/>
  <c r="BF26" i="3"/>
  <c r="BP32" i="3"/>
  <c r="BE35" i="3"/>
  <c r="BF36" i="3"/>
  <c r="BE34" i="3"/>
  <c r="BP34" i="3"/>
  <c r="BP40" i="3"/>
  <c r="BE41" i="3"/>
  <c r="BF30" i="3"/>
  <c r="BE26" i="1"/>
  <c r="I29" i="1" s="1"/>
  <c r="I38" i="10" s="1"/>
  <c r="P38" i="10" s="1"/>
  <c r="AS25" i="1"/>
  <c r="AR25" i="1"/>
  <c r="X34" i="1" s="1"/>
  <c r="F9" i="10" s="1"/>
  <c r="AQ26" i="1"/>
  <c r="T14" i="3"/>
  <c r="U14" i="3"/>
  <c r="V14" i="3" s="1"/>
  <c r="W14" i="3" s="1"/>
  <c r="X14" i="3" s="1"/>
  <c r="BF11" i="3"/>
  <c r="AF13" i="3"/>
  <c r="BE15" i="3"/>
  <c r="BF22" i="3"/>
  <c r="CK26" i="3"/>
  <c r="CF26" i="3"/>
  <c r="CB26" i="3"/>
  <c r="CK28" i="3"/>
  <c r="CF28" i="3"/>
  <c r="CB28" i="3"/>
  <c r="CM28" i="3"/>
  <c r="CI28" i="3"/>
  <c r="AF35" i="3"/>
  <c r="BN35" i="3"/>
  <c r="BE40" i="3"/>
  <c r="BD41" i="3"/>
  <c r="CK41" i="3"/>
  <c r="CF41" i="3"/>
  <c r="CB41" i="3"/>
  <c r="BK41" i="3" s="1"/>
  <c r="CM41" i="3"/>
  <c r="CI41" i="3"/>
  <c r="CD41" i="3"/>
  <c r="BD44" i="3"/>
  <c r="BE44" i="3" s="1"/>
  <c r="CL48" i="3"/>
  <c r="BP48" i="3" s="1"/>
  <c r="CG48" i="3"/>
  <c r="CC48" i="3"/>
  <c r="CK48" i="3"/>
  <c r="CF48" i="3"/>
  <c r="CB48" i="3"/>
  <c r="CN48" i="3"/>
  <c r="BO48" i="3" s="1"/>
  <c r="CJ48" i="3"/>
  <c r="CM48" i="3"/>
  <c r="CI48" i="3"/>
  <c r="CD48" i="3"/>
  <c r="CE9" i="3"/>
  <c r="CJ9" i="3"/>
  <c r="CN9" i="3"/>
  <c r="BO9" i="3" s="1"/>
  <c r="CE10" i="3"/>
  <c r="CJ10" i="3"/>
  <c r="CN10" i="3"/>
  <c r="BO10" i="3" s="1"/>
  <c r="CE11" i="3"/>
  <c r="CJ11" i="3"/>
  <c r="CN11" i="3"/>
  <c r="BO11" i="3" s="1"/>
  <c r="CE13" i="3"/>
  <c r="CJ13" i="3"/>
  <c r="CN13" i="3"/>
  <c r="BO13" i="3" s="1"/>
  <c r="CE14" i="3"/>
  <c r="CJ14" i="3"/>
  <c r="CN14" i="3"/>
  <c r="BO14" i="3" s="1"/>
  <c r="CE15" i="3"/>
  <c r="CJ15" i="3"/>
  <c r="CN15" i="3"/>
  <c r="BO15" i="3" s="1"/>
  <c r="CE17" i="3"/>
  <c r="CJ17" i="3"/>
  <c r="CN17" i="3"/>
  <c r="BO17" i="3" s="1"/>
  <c r="CE19" i="3"/>
  <c r="CJ19" i="3"/>
  <c r="CN19" i="3"/>
  <c r="BO19" i="3" s="1"/>
  <c r="CE20" i="3"/>
  <c r="CJ20" i="3"/>
  <c r="CN20" i="3"/>
  <c r="BO20" i="3" s="1"/>
  <c r="CE22" i="3"/>
  <c r="CJ22" i="3"/>
  <c r="CN22" i="3"/>
  <c r="BO22" i="3" s="1"/>
  <c r="CG26" i="3"/>
  <c r="CM26" i="3"/>
  <c r="CE28" i="3"/>
  <c r="CN28" i="3"/>
  <c r="BO28" i="3" s="1"/>
  <c r="CE30" i="3"/>
  <c r="CJ32" i="3"/>
  <c r="CE33" i="3"/>
  <c r="CN33" i="3"/>
  <c r="BO33" i="3" s="1"/>
  <c r="CJ34" i="3"/>
  <c r="CE35" i="3"/>
  <c r="CN35" i="3"/>
  <c r="BO35" i="3" s="1"/>
  <c r="CJ36" i="3"/>
  <c r="CE38" i="3"/>
  <c r="CN38" i="3"/>
  <c r="BO38" i="3" s="1"/>
  <c r="CJ40" i="3"/>
  <c r="CE41" i="3"/>
  <c r="CN41" i="3"/>
  <c r="BO41" i="3" s="1"/>
  <c r="CJ44" i="3"/>
  <c r="CN46" i="3"/>
  <c r="CE48" i="3"/>
  <c r="AF19" i="3"/>
  <c r="BN19" i="3"/>
  <c r="CK29" i="3"/>
  <c r="CF29" i="3"/>
  <c r="CB29" i="3"/>
  <c r="CM29" i="3"/>
  <c r="CI29" i="3"/>
  <c r="CD29" i="3"/>
  <c r="CK30" i="3"/>
  <c r="CF30" i="3"/>
  <c r="CB30" i="3"/>
  <c r="CM30" i="3"/>
  <c r="CI30" i="3"/>
  <c r="CD30" i="3"/>
  <c r="CK43" i="3"/>
  <c r="CF43" i="3"/>
  <c r="CB43" i="3"/>
  <c r="CM43" i="3"/>
  <c r="CI43" i="3"/>
  <c r="CD43" i="3"/>
  <c r="CL47" i="3"/>
  <c r="BP47" i="3" s="1"/>
  <c r="CG47" i="3"/>
  <c r="CC47" i="3"/>
  <c r="CK47" i="3"/>
  <c r="CF47" i="3"/>
  <c r="CB47" i="3"/>
  <c r="CM47" i="3"/>
  <c r="CI47" i="3"/>
  <c r="CD47" i="3"/>
  <c r="BF49" i="3"/>
  <c r="CB9" i="3"/>
  <c r="BK9" i="3" s="1"/>
  <c r="BU9" i="3" s="1"/>
  <c r="CF9" i="3"/>
  <c r="CK9" i="3"/>
  <c r="CB10" i="3"/>
  <c r="BK10" i="3" s="1"/>
  <c r="CF10" i="3"/>
  <c r="CK10" i="3"/>
  <c r="CB11" i="3"/>
  <c r="BK11" i="3" s="1"/>
  <c r="CF11" i="3"/>
  <c r="CK11" i="3"/>
  <c r="CB13" i="3"/>
  <c r="BK13" i="3" s="1"/>
  <c r="CF13" i="3"/>
  <c r="CK13" i="3"/>
  <c r="CB14" i="3"/>
  <c r="BK14" i="3" s="1"/>
  <c r="BU14" i="3" s="1"/>
  <c r="CF14" i="3"/>
  <c r="CK14" i="3"/>
  <c r="CB15" i="3"/>
  <c r="BK15" i="3" s="1"/>
  <c r="CF15" i="3"/>
  <c r="CK15" i="3"/>
  <c r="CB17" i="3"/>
  <c r="CF17" i="3"/>
  <c r="CK17" i="3"/>
  <c r="CB19" i="3"/>
  <c r="BK19" i="3" s="1"/>
  <c r="CF19" i="3"/>
  <c r="CK19" i="3"/>
  <c r="CB20" i="3"/>
  <c r="BK20" i="3" s="1"/>
  <c r="CF20" i="3"/>
  <c r="CK20" i="3"/>
  <c r="CB22" i="3"/>
  <c r="BK22" i="3" s="1"/>
  <c r="BU22" i="3" s="1"/>
  <c r="CF22" i="3"/>
  <c r="CK22" i="3"/>
  <c r="CC26" i="3"/>
  <c r="CI26" i="3"/>
  <c r="CN26" i="3"/>
  <c r="BO26" i="3" s="1"/>
  <c r="CG28" i="3"/>
  <c r="BS28" i="3" s="1"/>
  <c r="CC29" i="3"/>
  <c r="CL29" i="3"/>
  <c r="BP29" i="3" s="1"/>
  <c r="CG30" i="3"/>
  <c r="CC32" i="3"/>
  <c r="CG33" i="3"/>
  <c r="CC34" i="3"/>
  <c r="CG35" i="3"/>
  <c r="CC36" i="3"/>
  <c r="CL36" i="3"/>
  <c r="BP36" i="3" s="1"/>
  <c r="CG38" i="3"/>
  <c r="CC40" i="3"/>
  <c r="CG41" i="3"/>
  <c r="CC43" i="3"/>
  <c r="CL43" i="3"/>
  <c r="BP43" i="3" s="1"/>
  <c r="CE47" i="3"/>
  <c r="X26" i="1"/>
  <c r="AY26" i="1" s="1"/>
  <c r="AF11" i="3"/>
  <c r="BN11" i="3"/>
  <c r="AF14" i="3"/>
  <c r="BF17" i="3"/>
  <c r="BG17" i="3" s="1"/>
  <c r="BE19" i="3"/>
  <c r="BG19" i="3" s="1"/>
  <c r="CK32" i="3"/>
  <c r="CF32" i="3"/>
  <c r="CB32" i="3"/>
  <c r="CM32" i="3"/>
  <c r="CI32" i="3"/>
  <c r="CD32" i="3"/>
  <c r="CK34" i="3"/>
  <c r="CF34" i="3"/>
  <c r="CB34" i="3"/>
  <c r="CM34" i="3"/>
  <c r="CI34" i="3"/>
  <c r="CD34" i="3"/>
  <c r="BF35" i="3"/>
  <c r="CK40" i="3"/>
  <c r="CF40" i="3"/>
  <c r="CB40" i="3"/>
  <c r="BK40" i="3" s="1"/>
  <c r="CM40" i="3"/>
  <c r="CI40" i="3"/>
  <c r="CD40" i="3"/>
  <c r="CL44" i="3"/>
  <c r="BP44" i="3" s="1"/>
  <c r="CG44" i="3"/>
  <c r="CC44" i="3"/>
  <c r="CK44" i="3"/>
  <c r="CF44" i="3"/>
  <c r="CB44" i="3"/>
  <c r="BK44" i="3" s="1"/>
  <c r="BU44" i="3" s="1"/>
  <c r="CM44" i="3"/>
  <c r="CI44" i="3"/>
  <c r="CD44" i="3"/>
  <c r="BD47" i="3"/>
  <c r="BE47" i="3" s="1"/>
  <c r="BF48" i="3"/>
  <c r="BD48" i="3"/>
  <c r="BE48" i="3" s="1"/>
  <c r="CL49" i="3"/>
  <c r="BP49" i="3" s="1"/>
  <c r="CG49" i="3"/>
  <c r="CC49" i="3"/>
  <c r="CK49" i="3"/>
  <c r="CF49" i="3"/>
  <c r="CB49" i="3"/>
  <c r="CN49" i="3"/>
  <c r="BO49" i="3" s="1"/>
  <c r="CJ49" i="3"/>
  <c r="CE49" i="3"/>
  <c r="CM49" i="3"/>
  <c r="CI49" i="3"/>
  <c r="CD49" i="3"/>
  <c r="CC9" i="3"/>
  <c r="CG9" i="3"/>
  <c r="CL9" i="3"/>
  <c r="BP9" i="3" s="1"/>
  <c r="CC10" i="3"/>
  <c r="CG10" i="3"/>
  <c r="CL10" i="3"/>
  <c r="BP10" i="3" s="1"/>
  <c r="CC11" i="3"/>
  <c r="CG11" i="3"/>
  <c r="CL11" i="3"/>
  <c r="BP11" i="3" s="1"/>
  <c r="CC13" i="3"/>
  <c r="CG13" i="3"/>
  <c r="CL13" i="3"/>
  <c r="BP13" i="3" s="1"/>
  <c r="CC14" i="3"/>
  <c r="CG14" i="3"/>
  <c r="CL14" i="3"/>
  <c r="BP14" i="3" s="1"/>
  <c r="CC15" i="3"/>
  <c r="CG15" i="3"/>
  <c r="CL15" i="3"/>
  <c r="BP15" i="3" s="1"/>
  <c r="CC17" i="3"/>
  <c r="CG17" i="3"/>
  <c r="CL17" i="3"/>
  <c r="BP17" i="3" s="1"/>
  <c r="CC19" i="3"/>
  <c r="CG19" i="3"/>
  <c r="CL19" i="3"/>
  <c r="BP19" i="3" s="1"/>
  <c r="CC20" i="3"/>
  <c r="CG20" i="3"/>
  <c r="CL20" i="3"/>
  <c r="BP20" i="3" s="1"/>
  <c r="CC22" i="3"/>
  <c r="CG22" i="3"/>
  <c r="CL22" i="3"/>
  <c r="BP22" i="3" s="1"/>
  <c r="CD26" i="3"/>
  <c r="CJ26" i="3"/>
  <c r="CC28" i="3"/>
  <c r="CJ28" i="3"/>
  <c r="CE29" i="3"/>
  <c r="CN29" i="3"/>
  <c r="BO29" i="3" s="1"/>
  <c r="CJ30" i="3"/>
  <c r="CE32" i="3"/>
  <c r="CN32" i="3"/>
  <c r="BO32" i="3" s="1"/>
  <c r="CE34" i="3"/>
  <c r="CN34" i="3"/>
  <c r="BO34" i="3" s="1"/>
  <c r="CE36" i="3"/>
  <c r="CE40" i="3"/>
  <c r="CN40" i="3"/>
  <c r="BO40" i="3" s="1"/>
  <c r="CJ41" i="3"/>
  <c r="CE43" i="3"/>
  <c r="CN43" i="3"/>
  <c r="CJ47" i="3"/>
  <c r="BE11" i="3"/>
  <c r="CK33" i="3"/>
  <c r="CF33" i="3"/>
  <c r="CB33" i="3"/>
  <c r="CM33" i="3"/>
  <c r="CI33" i="3"/>
  <c r="CD33" i="3"/>
  <c r="CK35" i="3"/>
  <c r="CF35" i="3"/>
  <c r="CB35" i="3"/>
  <c r="BK35" i="3" s="1"/>
  <c r="CM35" i="3"/>
  <c r="CI35" i="3"/>
  <c r="CD35" i="3"/>
  <c r="CK36" i="3"/>
  <c r="CF36" i="3"/>
  <c r="CB36" i="3"/>
  <c r="BK36" i="3" s="1"/>
  <c r="BU36" i="3" s="1"/>
  <c r="CM36" i="3"/>
  <c r="CI36" i="3"/>
  <c r="CD36" i="3"/>
  <c r="CK38" i="3"/>
  <c r="CF38" i="3"/>
  <c r="CB38" i="3"/>
  <c r="CM38" i="3"/>
  <c r="CI38" i="3"/>
  <c r="CD38" i="3"/>
  <c r="CL46" i="3"/>
  <c r="BP46" i="3" s="1"/>
  <c r="CG46" i="3"/>
  <c r="CC46" i="3"/>
  <c r="CK46" i="3"/>
  <c r="CF46" i="3"/>
  <c r="CB46" i="3"/>
  <c r="CM46" i="3"/>
  <c r="CI46" i="3"/>
  <c r="CD46" i="3"/>
  <c r="CD9" i="3"/>
  <c r="CI9" i="3"/>
  <c r="CD10" i="3"/>
  <c r="CI10" i="3"/>
  <c r="CD11" i="3"/>
  <c r="CI11" i="3"/>
  <c r="CD13" i="3"/>
  <c r="CI13" i="3"/>
  <c r="CD14" i="3"/>
  <c r="CI14" i="3"/>
  <c r="CD15" i="3"/>
  <c r="CI15" i="3"/>
  <c r="CD17" i="3"/>
  <c r="CI17" i="3"/>
  <c r="CD19" i="3"/>
  <c r="CI19" i="3"/>
  <c r="CD20" i="3"/>
  <c r="CI20" i="3"/>
  <c r="CD22" i="3"/>
  <c r="CI22" i="3"/>
  <c r="CE26" i="3"/>
  <c r="CL26" i="3"/>
  <c r="BP26" i="3" s="1"/>
  <c r="CD28" i="3"/>
  <c r="CL28" i="3"/>
  <c r="BP28" i="3" s="1"/>
  <c r="CG29" i="3"/>
  <c r="CH29" i="3" s="1"/>
  <c r="BT29" i="3" s="1"/>
  <c r="CC30" i="3"/>
  <c r="CL30" i="3"/>
  <c r="BP30" i="3" s="1"/>
  <c r="CG32" i="3"/>
  <c r="CC33" i="3"/>
  <c r="CL33" i="3"/>
  <c r="BP33" i="3" s="1"/>
  <c r="CG34" i="3"/>
  <c r="CC35" i="3"/>
  <c r="CL35" i="3"/>
  <c r="BP35" i="3" s="1"/>
  <c r="CG36" i="3"/>
  <c r="CC38" i="3"/>
  <c r="CL38" i="3"/>
  <c r="BP38" i="3" s="1"/>
  <c r="CG40" i="3"/>
  <c r="CH40" i="3" s="1"/>
  <c r="CC41" i="3"/>
  <c r="CL41" i="3"/>
  <c r="BP41" i="3" s="1"/>
  <c r="CG43" i="3"/>
  <c r="CE44" i="3"/>
  <c r="CJ46" i="3"/>
  <c r="CN47" i="3"/>
  <c r="BO47" i="3" s="1"/>
  <c r="AP25" i="1"/>
  <c r="BU20" i="3"/>
  <c r="BU11" i="3"/>
  <c r="BU40" i="3"/>
  <c r="BU41" i="3"/>
  <c r="AF9" i="3"/>
  <c r="BF9" i="3"/>
  <c r="U15" i="3"/>
  <c r="T15" i="3"/>
  <c r="T20" i="3"/>
  <c r="U20" i="3"/>
  <c r="BF10" i="3"/>
  <c r="AF10" i="3"/>
  <c r="BG13" i="3"/>
  <c r="BE14" i="3"/>
  <c r="BD14" i="3"/>
  <c r="BF14" i="3"/>
  <c r="AI28" i="3"/>
  <c r="BH28" i="3" s="1"/>
  <c r="T36" i="3"/>
  <c r="U36" i="3"/>
  <c r="BC9" i="3"/>
  <c r="BH9" i="3" s="1"/>
  <c r="BE26" i="3"/>
  <c r="BF28" i="3"/>
  <c r="AI29" i="3"/>
  <c r="BH29" i="3" s="1"/>
  <c r="BD9" i="3"/>
  <c r="BC10" i="3"/>
  <c r="BH10" i="3" s="1"/>
  <c r="BG11" i="3"/>
  <c r="BE20" i="3"/>
  <c r="BD20" i="3"/>
  <c r="BE30" i="3"/>
  <c r="BD10" i="3"/>
  <c r="AF15" i="3"/>
  <c r="BC11" i="3"/>
  <c r="BH11" i="3" s="1"/>
  <c r="BC13" i="3"/>
  <c r="BH13" i="3" s="1"/>
  <c r="BC17" i="3"/>
  <c r="BC19" i="3"/>
  <c r="BH19" i="3" s="1"/>
  <c r="BD22" i="3"/>
  <c r="BC26" i="3"/>
  <c r="BD28" i="3"/>
  <c r="BD29" i="3"/>
  <c r="BE29" i="3" s="1"/>
  <c r="AF41" i="3"/>
  <c r="BF41" i="3"/>
  <c r="BE22" i="3"/>
  <c r="AI32" i="3"/>
  <c r="T32" i="3" s="1"/>
  <c r="BG32" i="3"/>
  <c r="BE38" i="3"/>
  <c r="BC30" i="3"/>
  <c r="T40" i="3"/>
  <c r="U40" i="3"/>
  <c r="BO30" i="3"/>
  <c r="BE36" i="3"/>
  <c r="BD36" i="3"/>
  <c r="BF40" i="3"/>
  <c r="BG40" i="3" s="1"/>
  <c r="AF40" i="3"/>
  <c r="U41" i="3"/>
  <c r="T41" i="3"/>
  <c r="BC33" i="3"/>
  <c r="BC34" i="3"/>
  <c r="BC35" i="3"/>
  <c r="BH35" i="3" s="1"/>
  <c r="BF43" i="3"/>
  <c r="BG43" i="3" s="1"/>
  <c r="BF44" i="3"/>
  <c r="BO46" i="3"/>
  <c r="AI48" i="3"/>
  <c r="BH48" i="3" s="1"/>
  <c r="BO43" i="3"/>
  <c r="BE46" i="3"/>
  <c r="AI47" i="3"/>
  <c r="BH47" i="3" s="1"/>
  <c r="BE49" i="3"/>
  <c r="BC38" i="3"/>
  <c r="BC43" i="3"/>
  <c r="T44" i="3"/>
  <c r="BH44" i="3"/>
  <c r="BC49" i="3"/>
  <c r="BC46" i="3"/>
  <c r="CH28" i="3" l="1"/>
  <c r="BT28" i="3" s="1"/>
  <c r="BG30" i="3"/>
  <c r="CH10" i="3"/>
  <c r="CH15" i="3"/>
  <c r="BT15" i="3" s="1"/>
  <c r="BS44" i="3"/>
  <c r="BG47" i="3"/>
  <c r="BG34" i="3"/>
  <c r="BS29" i="3"/>
  <c r="BG15" i="3"/>
  <c r="Z14" i="3"/>
  <c r="BL14" i="3" s="1"/>
  <c r="BS30" i="3"/>
  <c r="CH36" i="3"/>
  <c r="BT36" i="3" s="1"/>
  <c r="BS48" i="3"/>
  <c r="BS17" i="3"/>
  <c r="BS34" i="3"/>
  <c r="BK32" i="3"/>
  <c r="BG41" i="3"/>
  <c r="BS22" i="3"/>
  <c r="BX22" i="3" s="1"/>
  <c r="CH43" i="3"/>
  <c r="BT43" i="3" s="1"/>
  <c r="BG9" i="3"/>
  <c r="BG36" i="3"/>
  <c r="R25" i="1"/>
  <c r="BT10" i="3"/>
  <c r="BS43" i="3"/>
  <c r="BS32" i="3"/>
  <c r="BS33" i="3"/>
  <c r="CH20" i="3"/>
  <c r="BT20" i="3" s="1"/>
  <c r="CH14" i="3"/>
  <c r="BT14" i="3" s="1"/>
  <c r="CH9" i="3"/>
  <c r="BT9" i="3" s="1"/>
  <c r="BS49" i="3"/>
  <c r="CH44" i="3"/>
  <c r="BT44" i="3" s="1"/>
  <c r="BG35" i="3"/>
  <c r="BS47" i="3"/>
  <c r="BS26" i="3"/>
  <c r="BG26" i="3"/>
  <c r="BT40" i="3"/>
  <c r="BG46" i="3"/>
  <c r="BG49" i="3"/>
  <c r="BG38" i="3"/>
  <c r="BG10" i="3"/>
  <c r="H49" i="1"/>
  <c r="AM26" i="1"/>
  <c r="BB26" i="1" s="1"/>
  <c r="BC26" i="1" s="1"/>
  <c r="Y34" i="1"/>
  <c r="G9" i="10" s="1"/>
  <c r="AM25" i="1"/>
  <c r="BB25" i="1" s="1"/>
  <c r="BS46" i="3"/>
  <c r="BG44" i="3"/>
  <c r="BG48" i="3"/>
  <c r="AU25" i="1"/>
  <c r="AR26" i="1"/>
  <c r="AS26" i="1"/>
  <c r="BF26" i="1"/>
  <c r="BG20" i="3"/>
  <c r="BS14" i="3"/>
  <c r="BQ14" i="3" s="1"/>
  <c r="BV14" i="3" s="1"/>
  <c r="BS38" i="3"/>
  <c r="BU35" i="3"/>
  <c r="BU19" i="3"/>
  <c r="BU10" i="3"/>
  <c r="BU13" i="3"/>
  <c r="BU15" i="3"/>
  <c r="AI49" i="3"/>
  <c r="BH49" i="3" s="1"/>
  <c r="CH41" i="3"/>
  <c r="BT41" i="3" s="1"/>
  <c r="AI43" i="3"/>
  <c r="T43" i="3" s="1"/>
  <c r="CH38" i="3"/>
  <c r="BT38" i="3" s="1"/>
  <c r="AI33" i="3"/>
  <c r="BH33" i="3" s="1"/>
  <c r="CH34" i="3"/>
  <c r="BT34" i="3" s="1"/>
  <c r="CH35" i="3"/>
  <c r="BT35" i="3" s="1"/>
  <c r="AI30" i="3"/>
  <c r="T30" i="3" s="1"/>
  <c r="CH32" i="3"/>
  <c r="BT32" i="3" s="1"/>
  <c r="BE28" i="3"/>
  <c r="BG28" i="3" s="1"/>
  <c r="AI26" i="3"/>
  <c r="T26" i="3" s="1"/>
  <c r="BG22" i="3"/>
  <c r="U11" i="3"/>
  <c r="T11" i="3"/>
  <c r="CH13" i="3"/>
  <c r="BT13" i="3" s="1"/>
  <c r="T29" i="3"/>
  <c r="BK29" i="3"/>
  <c r="CH19" i="3"/>
  <c r="BT19" i="3" s="1"/>
  <c r="V15" i="3"/>
  <c r="Z15" i="3"/>
  <c r="BL15" i="3" s="1"/>
  <c r="AI46" i="3"/>
  <c r="T46" i="3" s="1"/>
  <c r="CH47" i="3"/>
  <c r="BT47" i="3" s="1"/>
  <c r="CH30" i="3"/>
  <c r="BT30" i="3" s="1"/>
  <c r="Z40" i="3"/>
  <c r="BL40" i="3" s="1"/>
  <c r="V40" i="3"/>
  <c r="CH22" i="3"/>
  <c r="U19" i="3"/>
  <c r="T19" i="3"/>
  <c r="BH32" i="3"/>
  <c r="U10" i="3"/>
  <c r="T10" i="3"/>
  <c r="Z36" i="3"/>
  <c r="BL36" i="3" s="1"/>
  <c r="V36" i="3"/>
  <c r="Z20" i="3"/>
  <c r="BL20" i="3" s="1"/>
  <c r="V20" i="3"/>
  <c r="CH49" i="3"/>
  <c r="BT49" i="3" s="1"/>
  <c r="CH48" i="3"/>
  <c r="BT48" i="3" s="1"/>
  <c r="AI38" i="3"/>
  <c r="T38" i="3" s="1"/>
  <c r="CH46" i="3"/>
  <c r="BT46" i="3" s="1"/>
  <c r="U35" i="3"/>
  <c r="T35" i="3"/>
  <c r="V41" i="3"/>
  <c r="Z41" i="3"/>
  <c r="BL41" i="3" s="1"/>
  <c r="CH33" i="3"/>
  <c r="BT33" i="3" s="1"/>
  <c r="BG29" i="3"/>
  <c r="CH26" i="3"/>
  <c r="BT26" i="3" s="1"/>
  <c r="AI17" i="3"/>
  <c r="T17" i="3" s="1"/>
  <c r="BK28" i="3"/>
  <c r="T28" i="3"/>
  <c r="BG14" i="3"/>
  <c r="CH11" i="3"/>
  <c r="BT11" i="3" s="1"/>
  <c r="T47" i="3"/>
  <c r="BK47" i="3"/>
  <c r="BK48" i="3"/>
  <c r="T48" i="3"/>
  <c r="AI34" i="3"/>
  <c r="T34" i="3" s="1"/>
  <c r="U13" i="3"/>
  <c r="T13" i="3"/>
  <c r="CH17" i="3"/>
  <c r="BT17" i="3" s="1"/>
  <c r="U9" i="3"/>
  <c r="T9" i="3"/>
  <c r="Y25" i="6" l="1"/>
  <c r="E9" i="10"/>
  <c r="X25" i="1"/>
  <c r="W38" i="1" s="1"/>
  <c r="C32" i="10" s="1"/>
  <c r="BX32" i="3"/>
  <c r="BU32" i="3"/>
  <c r="BQ32" i="3"/>
  <c r="BV32" i="3" s="1"/>
  <c r="BK26" i="3"/>
  <c r="BU26" i="3" s="1"/>
  <c r="F29" i="1"/>
  <c r="F38" i="10" s="1"/>
  <c r="Q38" i="10" s="1"/>
  <c r="BK30" i="3"/>
  <c r="BQ30" i="3" s="1"/>
  <c r="BV30" i="3" s="1"/>
  <c r="BK43" i="3"/>
  <c r="BU43" i="3" s="1"/>
  <c r="BH30" i="3"/>
  <c r="BI26" i="1"/>
  <c r="BD26" i="1"/>
  <c r="BG26" i="1" s="1"/>
  <c r="BH26" i="1" s="1"/>
  <c r="BH17" i="3"/>
  <c r="BH46" i="3"/>
  <c r="BH38" i="3"/>
  <c r="AU26" i="1"/>
  <c r="BH34" i="3"/>
  <c r="BK46" i="3"/>
  <c r="BU46" i="3" s="1"/>
  <c r="BU28" i="3"/>
  <c r="BU48" i="3"/>
  <c r="BU47" i="3"/>
  <c r="BT22" i="3"/>
  <c r="BQ22" i="3" s="1"/>
  <c r="BV22" i="3" s="1"/>
  <c r="BZ22" i="3" s="1"/>
  <c r="BU29" i="3"/>
  <c r="BZ14" i="3"/>
  <c r="BW32" i="3"/>
  <c r="BX48" i="3"/>
  <c r="BQ48" i="3"/>
  <c r="BV48" i="3" s="1"/>
  <c r="BX28" i="3"/>
  <c r="BQ28" i="3"/>
  <c r="BK17" i="3"/>
  <c r="V11" i="3"/>
  <c r="Z11" i="3"/>
  <c r="BL11" i="3" s="1"/>
  <c r="BH43" i="3"/>
  <c r="BQ47" i="3"/>
  <c r="BV47" i="3" s="1"/>
  <c r="BW47" i="3" s="1"/>
  <c r="BX47" i="3"/>
  <c r="Z35" i="3"/>
  <c r="BL35" i="3" s="1"/>
  <c r="V35" i="3"/>
  <c r="W36" i="3"/>
  <c r="X36" i="3" s="1"/>
  <c r="Z10" i="3"/>
  <c r="BL10" i="3" s="1"/>
  <c r="V10" i="3"/>
  <c r="BK34" i="3"/>
  <c r="BK38" i="3"/>
  <c r="BK49" i="3"/>
  <c r="T49" i="3"/>
  <c r="W20" i="3"/>
  <c r="X20" i="3" s="1"/>
  <c r="W40" i="3"/>
  <c r="X40" i="3" s="1"/>
  <c r="BQ44" i="3"/>
  <c r="BV44" i="3" s="1"/>
  <c r="BX44" i="3"/>
  <c r="W15" i="3"/>
  <c r="X15" i="3" s="1"/>
  <c r="BX29" i="3"/>
  <c r="BQ29" i="3"/>
  <c r="BV29" i="3" s="1"/>
  <c r="BW29" i="3" s="1"/>
  <c r="V9" i="3"/>
  <c r="Z9" i="3"/>
  <c r="BL9" i="3" s="1"/>
  <c r="Z13" i="3"/>
  <c r="BL13" i="3" s="1"/>
  <c r="V13" i="3"/>
  <c r="W41" i="3"/>
  <c r="X41" i="3" s="1"/>
  <c r="Z19" i="3"/>
  <c r="BL19" i="3" s="1"/>
  <c r="V19" i="3"/>
  <c r="BX14" i="3"/>
  <c r="BH26" i="3"/>
  <c r="T33" i="3"/>
  <c r="BK33" i="3"/>
  <c r="AE30" i="1" l="1"/>
  <c r="F49" i="1" s="1"/>
  <c r="G49" i="1" s="1"/>
  <c r="AY25" i="1"/>
  <c r="W34" i="1"/>
  <c r="C9" i="10" s="1"/>
  <c r="I9" i="10" s="1"/>
  <c r="Y25" i="7"/>
  <c r="E10" i="10"/>
  <c r="X25" i="6"/>
  <c r="BZ32" i="3"/>
  <c r="BY32" i="3" s="1"/>
  <c r="BQ26" i="3"/>
  <c r="BX30" i="3"/>
  <c r="BX26" i="3"/>
  <c r="BU30" i="3"/>
  <c r="BZ30" i="3" s="1"/>
  <c r="BQ43" i="3"/>
  <c r="BV43" i="3" s="1"/>
  <c r="BX43" i="3"/>
  <c r="BX46" i="3"/>
  <c r="BQ46" i="3"/>
  <c r="BV46" i="3" s="1"/>
  <c r="BZ46" i="3" s="1"/>
  <c r="BL26" i="1"/>
  <c r="BK26" i="1" s="1"/>
  <c r="BV28" i="3"/>
  <c r="BZ28" i="3" s="1"/>
  <c r="BS15" i="3"/>
  <c r="BX15" i="3" s="1"/>
  <c r="BS20" i="3"/>
  <c r="BS41" i="3"/>
  <c r="BS40" i="3"/>
  <c r="BS36" i="3"/>
  <c r="BQ36" i="3" s="1"/>
  <c r="BV36" i="3" s="1"/>
  <c r="BZ36" i="3" s="1"/>
  <c r="BU38" i="3"/>
  <c r="BW48" i="3"/>
  <c r="AN48" i="3" s="1"/>
  <c r="BU34" i="3"/>
  <c r="BU17" i="3"/>
  <c r="BU33" i="3"/>
  <c r="BU49" i="3"/>
  <c r="BW22" i="3"/>
  <c r="BY22" i="3" s="1"/>
  <c r="BV26" i="3"/>
  <c r="BW26" i="3" s="1"/>
  <c r="AN26" i="3" s="1"/>
  <c r="AN29" i="3"/>
  <c r="AN47" i="3"/>
  <c r="BZ29" i="3"/>
  <c r="BY29" i="3" s="1"/>
  <c r="BZ44" i="3"/>
  <c r="BX49" i="3"/>
  <c r="BQ49" i="3"/>
  <c r="BV49" i="3" s="1"/>
  <c r="W10" i="3"/>
  <c r="X10" i="3" s="1"/>
  <c r="W35" i="3"/>
  <c r="X35" i="3" s="1"/>
  <c r="BW46" i="3"/>
  <c r="BW28" i="3"/>
  <c r="BW30" i="3"/>
  <c r="BW14" i="3"/>
  <c r="W19" i="3"/>
  <c r="X19" i="3" s="1"/>
  <c r="W11" i="3"/>
  <c r="X11" i="3" s="1"/>
  <c r="BZ48" i="3"/>
  <c r="W9" i="3"/>
  <c r="X9" i="3" s="1"/>
  <c r="BX38" i="3"/>
  <c r="BQ38" i="3"/>
  <c r="BQ17" i="3"/>
  <c r="BX17" i="3"/>
  <c r="AN32" i="3"/>
  <c r="BQ33" i="3"/>
  <c r="BV33" i="3" s="1"/>
  <c r="BX33" i="3"/>
  <c r="BW43" i="3"/>
  <c r="W13" i="3"/>
  <c r="X13" i="3" s="1"/>
  <c r="BX34" i="3"/>
  <c r="BQ34" i="3"/>
  <c r="BV34" i="3" s="1"/>
  <c r="BZ47" i="3"/>
  <c r="BY47" i="3" s="1"/>
  <c r="C29" i="1" l="1"/>
  <c r="C38" i="10" s="1"/>
  <c r="M38" i="10" s="1"/>
  <c r="BF25" i="1"/>
  <c r="BI25" i="1"/>
  <c r="BC25" i="1"/>
  <c r="G29" i="1" s="1"/>
  <c r="G38" i="10" s="1"/>
  <c r="N38" i="10" s="1"/>
  <c r="J29" i="1"/>
  <c r="J38" i="10" s="1"/>
  <c r="AA34" i="1"/>
  <c r="BD25" i="1"/>
  <c r="H29" i="1" s="1"/>
  <c r="H38" i="10" s="1"/>
  <c r="O38" i="10" s="1"/>
  <c r="AE30" i="6"/>
  <c r="F49" i="6" s="1"/>
  <c r="G49" i="6" s="1"/>
  <c r="W34" i="6"/>
  <c r="W38" i="6"/>
  <c r="C33" i="10" s="1"/>
  <c r="AY25" i="6"/>
  <c r="BF25" i="6" s="1"/>
  <c r="E11" i="10"/>
  <c r="X25" i="7"/>
  <c r="BQ15" i="3"/>
  <c r="BV15" i="3" s="1"/>
  <c r="BZ15" i="3" s="1"/>
  <c r="Q49" i="1"/>
  <c r="U49" i="1" s="1"/>
  <c r="BY48" i="3"/>
  <c r="BX36" i="3"/>
  <c r="BV17" i="3"/>
  <c r="BZ17" i="3" s="1"/>
  <c r="AA26" i="1"/>
  <c r="BV38" i="3"/>
  <c r="BZ38" i="3" s="1"/>
  <c r="BS9" i="3"/>
  <c r="BS19" i="3"/>
  <c r="BS35" i="3"/>
  <c r="BW36" i="3"/>
  <c r="AN36" i="3" s="1"/>
  <c r="BS10" i="3"/>
  <c r="BS13" i="3"/>
  <c r="BS11" i="3"/>
  <c r="BQ11" i="3" s="1"/>
  <c r="BV11" i="3" s="1"/>
  <c r="BZ11" i="3" s="1"/>
  <c r="BW17" i="3"/>
  <c r="AN17" i="3" s="1"/>
  <c r="BZ26" i="3"/>
  <c r="BY26" i="3" s="1"/>
  <c r="BW11" i="3"/>
  <c r="BY28" i="3"/>
  <c r="AN28" i="3"/>
  <c r="AN43" i="3"/>
  <c r="BY30" i="3"/>
  <c r="AN30" i="3"/>
  <c r="BW38" i="3"/>
  <c r="BQ40" i="3"/>
  <c r="BV40" i="3" s="1"/>
  <c r="BX40" i="3"/>
  <c r="BY14" i="3"/>
  <c r="AN14" i="3"/>
  <c r="BW44" i="3"/>
  <c r="BZ34" i="3"/>
  <c r="BZ43" i="3"/>
  <c r="BY43" i="3" s="1"/>
  <c r="BZ49" i="3"/>
  <c r="BX20" i="3"/>
  <c r="BQ20" i="3"/>
  <c r="BV20" i="3" s="1"/>
  <c r="BW33" i="3"/>
  <c r="BQ41" i="3"/>
  <c r="BV41" i="3" s="1"/>
  <c r="BX41" i="3"/>
  <c r="BW34" i="3"/>
  <c r="BY46" i="3"/>
  <c r="AN46" i="3"/>
  <c r="BW49" i="3"/>
  <c r="Q49" i="6" l="1"/>
  <c r="U49" i="6" s="1"/>
  <c r="C45" i="10" s="1"/>
  <c r="G45" i="10" s="1"/>
  <c r="BG25" i="1"/>
  <c r="K29" i="1" s="1"/>
  <c r="K38" i="10" s="1"/>
  <c r="R38" i="10" s="1"/>
  <c r="C29" i="6"/>
  <c r="C39" i="10" s="1"/>
  <c r="M39" i="10" s="1"/>
  <c r="BI25" i="6"/>
  <c r="BD25" i="6"/>
  <c r="H29" i="6" s="1"/>
  <c r="H39" i="10" s="1"/>
  <c r="O39" i="10" s="1"/>
  <c r="BC25" i="6"/>
  <c r="G29" i="6" s="1"/>
  <c r="G39" i="10" s="1"/>
  <c r="N39" i="10" s="1"/>
  <c r="AE30" i="7"/>
  <c r="F49" i="7" s="1"/>
  <c r="G49" i="7" s="1"/>
  <c r="W38" i="7"/>
  <c r="C34" i="10" s="1"/>
  <c r="AY25" i="7"/>
  <c r="BF25" i="7" s="1"/>
  <c r="W34" i="7"/>
  <c r="C10" i="10"/>
  <c r="I10" i="10" s="1"/>
  <c r="AA34" i="6"/>
  <c r="BY36" i="3"/>
  <c r="C44" i="10"/>
  <c r="G44" i="10" s="1"/>
  <c r="U53" i="1"/>
  <c r="BX11" i="3"/>
  <c r="BY11" i="3" s="1"/>
  <c r="BX35" i="3"/>
  <c r="BQ35" i="3"/>
  <c r="BQ10" i="3"/>
  <c r="BV10" i="3" s="1"/>
  <c r="BZ10" i="3" s="1"/>
  <c r="BX10" i="3"/>
  <c r="BY17" i="3"/>
  <c r="AN33" i="3"/>
  <c r="BY38" i="3"/>
  <c r="AN38" i="3"/>
  <c r="AN49" i="3"/>
  <c r="BY49" i="3"/>
  <c r="BX9" i="3"/>
  <c r="BQ9" i="3"/>
  <c r="BV9" i="3" s="1"/>
  <c r="BW40" i="3"/>
  <c r="BZ40" i="3"/>
  <c r="BY44" i="3"/>
  <c r="AN44" i="3"/>
  <c r="AN11" i="3"/>
  <c r="BY34" i="3"/>
  <c r="AN34" i="3"/>
  <c r="BZ41" i="3"/>
  <c r="BW41" i="3"/>
  <c r="BZ20" i="3"/>
  <c r="BW15" i="3"/>
  <c r="BZ33" i="3"/>
  <c r="BY33" i="3" s="1"/>
  <c r="BQ19" i="3"/>
  <c r="BV19" i="3" s="1"/>
  <c r="BX19" i="3"/>
  <c r="BQ13" i="3"/>
  <c r="BV13" i="3" s="1"/>
  <c r="BX13" i="3"/>
  <c r="U53" i="6" l="1"/>
  <c r="BH25" i="1"/>
  <c r="L29" i="1" s="1"/>
  <c r="L38" i="10" s="1"/>
  <c r="S38" i="10" s="1"/>
  <c r="BL25" i="1"/>
  <c r="BG25" i="6"/>
  <c r="K29" i="6" s="1"/>
  <c r="K39" i="10" s="1"/>
  <c r="Q49" i="7"/>
  <c r="U49" i="7" s="1"/>
  <c r="U53" i="7" s="1"/>
  <c r="C11" i="10"/>
  <c r="I11" i="10" s="1"/>
  <c r="AA34" i="7"/>
  <c r="C29" i="7"/>
  <c r="C40" i="10" s="1"/>
  <c r="M40" i="10" s="1"/>
  <c r="J29" i="7"/>
  <c r="J40" i="10" s="1"/>
  <c r="BI25" i="7"/>
  <c r="BC25" i="7"/>
  <c r="G29" i="7" s="1"/>
  <c r="G40" i="10" s="1"/>
  <c r="N40" i="10" s="1"/>
  <c r="BD25" i="7"/>
  <c r="H29" i="7" s="1"/>
  <c r="H40" i="10" s="1"/>
  <c r="O40" i="10" s="1"/>
  <c r="J29" i="6"/>
  <c r="J39" i="10" s="1"/>
  <c r="BV35" i="3"/>
  <c r="BZ35" i="3" s="1"/>
  <c r="BW10" i="3"/>
  <c r="BY10" i="3" s="1"/>
  <c r="BW19" i="3"/>
  <c r="BZ19" i="3"/>
  <c r="BW20" i="3"/>
  <c r="BZ9" i="3"/>
  <c r="BW9" i="3"/>
  <c r="BY41" i="3"/>
  <c r="AN41" i="3"/>
  <c r="BZ13" i="3"/>
  <c r="BW13" i="3"/>
  <c r="BY15" i="3"/>
  <c r="AN15" i="3"/>
  <c r="AN40" i="3"/>
  <c r="BY40" i="3"/>
  <c r="AN10" i="3" l="1"/>
  <c r="BH25" i="6"/>
  <c r="L29" i="6" s="1"/>
  <c r="L39" i="10" s="1"/>
  <c r="S39" i="10" s="1"/>
  <c r="C46" i="10"/>
  <c r="G46" i="10" s="1"/>
  <c r="AA25" i="1"/>
  <c r="BL25" i="6"/>
  <c r="BK25" i="1"/>
  <c r="BG25" i="7"/>
  <c r="BH25" i="7" s="1"/>
  <c r="L29" i="7" s="1"/>
  <c r="L40" i="10" s="1"/>
  <c r="S40" i="10" s="1"/>
  <c r="R39" i="10"/>
  <c r="BW35" i="3"/>
  <c r="BY13" i="3"/>
  <c r="AN13" i="3"/>
  <c r="BY20" i="3"/>
  <c r="AN20" i="3"/>
  <c r="BY9" i="3"/>
  <c r="AN9" i="3"/>
  <c r="BY19" i="3"/>
  <c r="AN19" i="3"/>
  <c r="AA25" i="6" l="1"/>
  <c r="BK25" i="6"/>
  <c r="K29" i="7"/>
  <c r="K40" i="10" s="1"/>
  <c r="R40" i="10" s="1"/>
  <c r="BL25" i="7"/>
  <c r="BK25" i="7" s="1"/>
  <c r="AA25" i="7"/>
  <c r="BY35" i="3"/>
  <c r="AN35" i="3"/>
  <c r="H8" i="10"/>
  <c r="AC23" i="1" l="1"/>
  <c r="AC23" i="7" l="1"/>
  <c r="AC23" i="6"/>
  <c r="AF23" i="7"/>
  <c r="AF23" i="1"/>
  <c r="AF23" i="6"/>
</calcChain>
</file>

<file path=xl/comments1.xml><?xml version="1.0" encoding="utf-8"?>
<comments xmlns="http://schemas.openxmlformats.org/spreadsheetml/2006/main">
  <authors>
    <author>en fornøyd Microsoft Office-bruker</author>
  </authors>
  <commentList>
    <comment ref="BN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N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Q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</commentList>
</comments>
</file>

<file path=xl/comments2.xml><?xml version="1.0" encoding="utf-8"?>
<comments xmlns="http://schemas.openxmlformats.org/spreadsheetml/2006/main">
  <authors>
    <author>en fornøyd Microsoft Office-bruker</author>
  </authors>
  <commentList>
    <comment ref="BN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N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Q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</commentList>
</comments>
</file>

<file path=xl/comments3.xml><?xml version="1.0" encoding="utf-8"?>
<comments xmlns="http://schemas.openxmlformats.org/spreadsheetml/2006/main">
  <authors>
    <author>en fornøyd Microsoft Office-bruker</author>
  </authors>
  <commentList>
    <comment ref="BN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5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N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O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P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Q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R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T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U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W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BX26" authorId="0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</commentList>
</comments>
</file>

<file path=xl/comments4.xml><?xml version="1.0" encoding="utf-8"?>
<comments xmlns="http://schemas.openxmlformats.org/spreadsheetml/2006/main">
  <authors>
    <author>hovding1</author>
    <author>en fornøyd Microsoft Office-bruker</author>
  </authors>
  <commentList>
    <comment ref="D17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opprinnelig 7 satt inn</t>
        </r>
      </text>
    </comment>
    <comment ref="F17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fortsetter som passiv nattevakt. 14.45-21 aktiv 21-07.45 passiv 1\4</t>
        </r>
      </text>
    </comment>
    <comment ref="G17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Henger sammen med kveld 2.</t>
        </r>
      </text>
    </comment>
    <comment ref="H17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pers 9-16 aktiv 16-08 passiv 1\4. 1pers 8-16 1\4 16-23  aktiv </t>
        </r>
      </text>
    </comment>
    <comment ref="K17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aktiv nattevakt 23-09 i tilleg til passsiv vakt se dagmerknad.</t>
        </r>
      </text>
    </comment>
    <comment ref="AI17" authorId="0" shapeId="0">
      <text>
        <r>
          <rPr>
            <b/>
            <sz val="8"/>
            <color indexed="81"/>
            <rFont val="Tahoma"/>
            <family val="2"/>
          </rPr>
          <t xml:space="preserve">hovding1: 1 still vakant
</t>
        </r>
      </text>
    </comment>
    <comment ref="CB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1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D26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opprinnelig 8,8</t>
        </r>
      </text>
    </comment>
    <comment ref="CB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2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D2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opprinnelig 3 stk </t>
        </r>
      </text>
    </comment>
    <comment ref="G2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 aktiv 22:30-08:00
1 passiv 23-7,30 1\5</t>
        </r>
      </text>
    </comment>
    <comment ref="H2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stk 7,30-15 aktiv
1 stk 08-15 passiv 1\5</t>
        </r>
      </text>
    </comment>
    <comment ref="K2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aktiv 22:30-08:00
1 passiv 23-7,30</t>
        </r>
      </text>
    </comment>
    <comment ref="CB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2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29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30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32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3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3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D3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ugp 9,5</t>
        </r>
      </text>
    </comment>
    <comment ref="G3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aktiv 23-08
1passiv 21-08 1\4 er forlengelse av kveld 2</t>
        </r>
      </text>
    </comment>
    <comment ref="H3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pers aktiv 9-16
1 pers passiv 8-16 1/4</t>
        </r>
      </text>
    </comment>
    <comment ref="I3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aktiv og 1 passiv
16-23</t>
        </r>
      </text>
    </comment>
    <comment ref="K38" authorId="0" shapeId="0">
      <text>
        <r>
          <rPr>
            <b/>
            <sz val="8"/>
            <color indexed="81"/>
            <rFont val="Tahoma"/>
            <family val="2"/>
          </rPr>
          <t>hovding1:</t>
        </r>
        <r>
          <rPr>
            <sz val="8"/>
            <color indexed="81"/>
            <rFont val="Tahoma"/>
            <family val="2"/>
          </rPr>
          <t xml:space="preserve">
1 aktiv 23-9
1 passiv 1\4 23-8</t>
        </r>
      </text>
    </comment>
    <comment ref="CB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3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43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44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46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47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B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C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D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E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F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G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I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J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L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M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  <comment ref="CN48" authorId="1" shapeId="0">
      <text>
        <r>
          <rPr>
            <sz val="8"/>
            <color indexed="81"/>
            <rFont val="Tahoma"/>
            <family val="2"/>
          </rPr>
          <t>Formelen kunne ikke omgjøres</t>
        </r>
      </text>
    </comment>
  </commentList>
</comments>
</file>

<file path=xl/sharedStrings.xml><?xml version="1.0" encoding="utf-8"?>
<sst xmlns="http://schemas.openxmlformats.org/spreadsheetml/2006/main" count="574" uniqueCount="299">
  <si>
    <t>Gj snitt</t>
  </si>
  <si>
    <t>Stillinger</t>
  </si>
  <si>
    <t>Arbeidstid pr vakt</t>
  </si>
  <si>
    <t>Hverdag</t>
  </si>
  <si>
    <t>Helg/helligdag</t>
  </si>
  <si>
    <t>Pr uke (beregnet)</t>
  </si>
  <si>
    <t>Andel av fast</t>
  </si>
  <si>
    <t>1000 kr per år</t>
  </si>
  <si>
    <t>Arb tid</t>
  </si>
  <si>
    <t>Timer</t>
  </si>
  <si>
    <t>Dag</t>
  </si>
  <si>
    <t>Kveld</t>
  </si>
  <si>
    <t>Kveld 2</t>
  </si>
  <si>
    <t>Natt</t>
  </si>
  <si>
    <t>100 %</t>
  </si>
  <si>
    <t>pr uke</t>
  </si>
  <si>
    <t>Beregnet</t>
  </si>
  <si>
    <t>Antall stillinger</t>
  </si>
  <si>
    <t>Antall tilstede i gjennomsnitt pr vakt</t>
  </si>
  <si>
    <t>Kristiansund</t>
  </si>
  <si>
    <t>Arbeidsplan for den enkelte turnus. Første hovedkollonne viser antall tilstede/vaktordning, andre arbeidstiden pr avkt</t>
  </si>
  <si>
    <t>Leger, gj lengde tj plan Andre; ansatte per stiling hvis vakt hver 3 helg skal være mulig</t>
  </si>
  <si>
    <t>Utr vakt</t>
  </si>
  <si>
    <t>Telfel</t>
  </si>
  <si>
    <t>Overtid utover plan totalt</t>
  </si>
  <si>
    <t>Innleie av vikarer</t>
  </si>
  <si>
    <t>Lønns-</t>
  </si>
  <si>
    <t>Vakans</t>
  </si>
  <si>
    <t>Lønn -ref</t>
  </si>
  <si>
    <t>Spesifikasjon av arbeid utover normal arbeidstid ( gjelder beregning av kvelds- og nattliggeg</t>
  </si>
  <si>
    <t>Beregnede timer og hele årsverk</t>
  </si>
  <si>
    <t>Beregnet lønnskostnad</t>
  </si>
  <si>
    <t>Overførte satser fra satsark</t>
  </si>
  <si>
    <t>bem planer</t>
  </si>
  <si>
    <t>Antall tilstede pr vakt/Brøk angir vaktordning</t>
  </si>
  <si>
    <t>Forlenget arbeidstid</t>
  </si>
  <si>
    <t>pr døgn</t>
  </si>
  <si>
    <t>T-trinn</t>
  </si>
  <si>
    <t>o tid</t>
  </si>
  <si>
    <t>(inkl vak vakt, und ord utrykn)</t>
  </si>
  <si>
    <t>I tillegg til faste planer</t>
  </si>
  <si>
    <t>trinn</t>
  </si>
  <si>
    <t>Vaktdøgn pr år</t>
  </si>
  <si>
    <t>vakter</t>
  </si>
  <si>
    <t>(bergnet)</t>
  </si>
  <si>
    <t>O.leger</t>
  </si>
  <si>
    <t>Totalt</t>
  </si>
  <si>
    <t>Rekrutt</t>
  </si>
  <si>
    <t>Pr uke</t>
  </si>
  <si>
    <t>Tillegg tot</t>
  </si>
  <si>
    <t>Antall</t>
  </si>
  <si>
    <t>Hv da</t>
  </si>
  <si>
    <t>Helg/</t>
  </si>
  <si>
    <t>Andel</t>
  </si>
  <si>
    <t>Helår</t>
  </si>
  <si>
    <t>Timer tillegg</t>
  </si>
  <si>
    <t xml:space="preserve">Timer </t>
  </si>
  <si>
    <t>Avspas</t>
  </si>
  <si>
    <t>Antall timer</t>
  </si>
  <si>
    <t>Utrykning overord leger</t>
  </si>
  <si>
    <t>Avdeling</t>
  </si>
  <si>
    <t>Post</t>
  </si>
  <si>
    <t>Turnus</t>
  </si>
  <si>
    <t>Kveld 1</t>
  </si>
  <si>
    <t>N.time</t>
  </si>
  <si>
    <t>Øvre gr</t>
  </si>
  <si>
    <t>eks rek</t>
  </si>
  <si>
    <t>tillegg</t>
  </si>
  <si>
    <t>helligd</t>
  </si>
  <si>
    <t>1000 kr</t>
  </si>
  <si>
    <t>Etter 17</t>
  </si>
  <si>
    <t>Før 6</t>
  </si>
  <si>
    <t>Etter 00</t>
  </si>
  <si>
    <t>hv dags vakt</t>
  </si>
  <si>
    <t>helgevakt</t>
  </si>
  <si>
    <t>Kvelds/natt</t>
  </si>
  <si>
    <t>Lørdag/søndag</t>
  </si>
  <si>
    <t>Hellligdag</t>
  </si>
  <si>
    <t>Hell till</t>
  </si>
  <si>
    <t>Etter plan</t>
  </si>
  <si>
    <t>Ferie/vak</t>
  </si>
  <si>
    <t>Tilfedlig overid/utr</t>
  </si>
  <si>
    <t>Overtidstimer etter plan pr lege</t>
  </si>
  <si>
    <t>Lønn</t>
  </si>
  <si>
    <t>Grunnlønn</t>
  </si>
  <si>
    <t>Lør - og søndagstillegg</t>
  </si>
  <si>
    <t>Helligdagstillegg</t>
  </si>
  <si>
    <t>Nattillegg</t>
  </si>
  <si>
    <t>Ekstarhjelp/Ferievikarer</t>
  </si>
  <si>
    <t>Fast</t>
  </si>
  <si>
    <t>Fast avtalt overtid</t>
  </si>
  <si>
    <t>Annen overtid</t>
  </si>
  <si>
    <t>Pensjonspremie</t>
  </si>
  <si>
    <t>Arb giver avgift</t>
  </si>
  <si>
    <t xml:space="preserve">Fast </t>
  </si>
  <si>
    <t>Variabelt</t>
  </si>
  <si>
    <t>Sos kost</t>
  </si>
  <si>
    <t>Lønnstrinn</t>
  </si>
  <si>
    <t>Medisin</t>
  </si>
  <si>
    <t>Leger</t>
  </si>
  <si>
    <t xml:space="preserve"> overlege</t>
  </si>
  <si>
    <t xml:space="preserve"> </t>
  </si>
  <si>
    <t>Ass leger</t>
  </si>
  <si>
    <t>Turnus leger</t>
  </si>
  <si>
    <t>Kirurgi</t>
  </si>
  <si>
    <t>Anestesi</t>
  </si>
  <si>
    <t>Sengepost</t>
  </si>
  <si>
    <t>Sy pl</t>
  </si>
  <si>
    <t>intensiv</t>
  </si>
  <si>
    <t>Føde</t>
  </si>
  <si>
    <t>jormor</t>
  </si>
  <si>
    <t>barnepleier</t>
  </si>
  <si>
    <t>avdsj\avdjor</t>
  </si>
  <si>
    <t>Gyn</t>
  </si>
  <si>
    <t>Felles sengepost</t>
  </si>
  <si>
    <t>hjelpepleier</t>
  </si>
  <si>
    <t>sekr\avd.sjuk</t>
  </si>
  <si>
    <t>operasjon</t>
  </si>
  <si>
    <t>Pediatri</t>
  </si>
  <si>
    <t>kl.kjemi</t>
  </si>
  <si>
    <t>bioingenører</t>
  </si>
  <si>
    <t>Røntgen</t>
  </si>
  <si>
    <t>sjpl\radiograf</t>
  </si>
  <si>
    <t>avd.sjuk</t>
  </si>
  <si>
    <t>assistent</t>
  </si>
  <si>
    <t>Grenser</t>
  </si>
  <si>
    <t>Helligdagsgodtgjørelse</t>
  </si>
  <si>
    <t>Helge/Høytidsdager</t>
  </si>
  <si>
    <t>Årslønn</t>
  </si>
  <si>
    <t>Daglønn</t>
  </si>
  <si>
    <t>Timelønn</t>
  </si>
  <si>
    <t>Helgedagstillegg</t>
  </si>
  <si>
    <t>Mnd lønn</t>
  </si>
  <si>
    <t>Dager pr måned</t>
  </si>
  <si>
    <t>Antall uker pr år</t>
  </si>
  <si>
    <t>Sats</t>
  </si>
  <si>
    <t>Sats nattillegg</t>
  </si>
  <si>
    <t>Sats arbeidsgiveravgift</t>
  </si>
  <si>
    <t>Nattillegg, tillegg utover minimumstats i tariffavtalen</t>
  </si>
  <si>
    <t>Overtidssatser</t>
  </si>
  <si>
    <t xml:space="preserve">Timer pr år </t>
  </si>
  <si>
    <t>Andel avspasering helligdagstillegg</t>
  </si>
  <si>
    <t>Timer pr. uke</t>
  </si>
  <si>
    <t xml:space="preserve">Innleie av vikarer </t>
  </si>
  <si>
    <t>Ferie-avvikling</t>
  </si>
  <si>
    <t>Overtidstimer</t>
  </si>
  <si>
    <t>Starttidspunkt nattevakt hverdag</t>
  </si>
  <si>
    <t>Starttidspunkt nattevakt helg/helligdag</t>
  </si>
  <si>
    <t>Mellombergeninger</t>
  </si>
  <si>
    <t>dagtid hv dag</t>
  </si>
  <si>
    <t>Overtid</t>
  </si>
  <si>
    <t>Regnskapstall</t>
  </si>
  <si>
    <t>I turnus</t>
  </si>
  <si>
    <t>Andelen faglærte</t>
  </si>
  <si>
    <t>Fordeling av vakter helg/helligdag i turnus etter "type vaktordning"</t>
  </si>
  <si>
    <t>Beregnet behov ut fra turnusoppsett</t>
  </si>
  <si>
    <t>Hull i turnus/ ikke besatte stillinger</t>
  </si>
  <si>
    <t>Under 30 %</t>
  </si>
  <si>
    <t>30 til 50%</t>
  </si>
  <si>
    <t>50 til 80 %</t>
  </si>
  <si>
    <t>Antall vikarer etc utover fast ansatte</t>
  </si>
  <si>
    <t>Totalt antall ansatte / vikarer etc</t>
  </si>
  <si>
    <t>Over 80 %</t>
  </si>
  <si>
    <t>Ansatte</t>
  </si>
  <si>
    <t>Vikarer etc</t>
  </si>
  <si>
    <t>Beregnet andel</t>
  </si>
  <si>
    <t>Ansatte og vikarer. Hvor mange hadde ulik stillingsprosent, går i ulike type turnus. I hvilken grad fyller de kvalifikasjonskravene?</t>
  </si>
  <si>
    <t>Andel sykefravær</t>
  </si>
  <si>
    <t>Langtidsfravær</t>
  </si>
  <si>
    <t>Korttidsfravær</t>
  </si>
  <si>
    <t>Uker helg/helligdag</t>
  </si>
  <si>
    <t>Uker hverdag</t>
  </si>
  <si>
    <t>Nytilsettinger</t>
  </si>
  <si>
    <t xml:space="preserve">Antall </t>
  </si>
  <si>
    <t>Beregnede utgifter sammenliknes med regnskapstall, sykefravær og antall vakter som må ringes etter, antall nytilsettinger.</t>
  </si>
  <si>
    <t>Beregnet antall årsverk brukt</t>
  </si>
  <si>
    <t>Hvordan planlegger vi i år</t>
  </si>
  <si>
    <t>Antall årsverk</t>
  </si>
  <si>
    <t>Sykefravær</t>
  </si>
  <si>
    <t xml:space="preserve">Fast ansatte </t>
  </si>
  <si>
    <t>Antall personer som beboere/ brukere møter jevnlig</t>
  </si>
  <si>
    <t>Alle</t>
  </si>
  <si>
    <t>Annen innleie</t>
  </si>
  <si>
    <t>Fast ansatte utover bemanningsplan (overbooking)</t>
  </si>
  <si>
    <t>Antall vakter pr. helg</t>
  </si>
  <si>
    <t>Antall ansatte</t>
  </si>
  <si>
    <t>Totalt antall ansatte</t>
  </si>
  <si>
    <t>Fast ansatte (inkl utover bem. plan)</t>
  </si>
  <si>
    <t>Fylle bemanningsplan (ringe, sende SMS etc)</t>
  </si>
  <si>
    <t>Tidsbruk ansatte har avsatt i turnusplanen til turnusoppsett etc</t>
  </si>
  <si>
    <t>Beregnet bruk av ressurser pr år</t>
  </si>
  <si>
    <t>For de som utfører arbeidet</t>
  </si>
  <si>
    <t>Lønnsutgifter inkl arb avgift og pensjon</t>
  </si>
  <si>
    <t>Timer pr år</t>
  </si>
  <si>
    <t>Antall vakter det må leies inn til pr. år</t>
  </si>
  <si>
    <t>1.</t>
  </si>
  <si>
    <t>Kort bruksanvising</t>
  </si>
  <si>
    <t>2.</t>
  </si>
  <si>
    <t>3.</t>
  </si>
  <si>
    <t xml:space="preserve">4. </t>
  </si>
  <si>
    <t xml:space="preserve">5. </t>
  </si>
  <si>
    <t xml:space="preserve">6. </t>
  </si>
  <si>
    <t xml:space="preserve">7. </t>
  </si>
  <si>
    <t>8.</t>
  </si>
  <si>
    <t>Lønnsutgifter fratrukket refusjon folketrygden (beregnet)</t>
  </si>
  <si>
    <t>Helår (1000 kr)</t>
  </si>
  <si>
    <t>7.</t>
  </si>
  <si>
    <t>9.</t>
  </si>
  <si>
    <t>Sluttidspunkt kveldsvakt hverdag</t>
  </si>
  <si>
    <t>Sluttidspunkt kveldsvakt helg/helligdag</t>
  </si>
  <si>
    <t>Spesifikasjon av arbeid utover normal arbeidstid ( gjelder beregning av kvelds- og nattlillegg</t>
  </si>
  <si>
    <t>Arbeidstid pr vakt (eventuell passiv vakt omregnes)</t>
  </si>
  <si>
    <t>Helligdag</t>
  </si>
  <si>
    <t>Indikator for arbeid vedr å ringe etter vakter</t>
  </si>
  <si>
    <t>Hvor mye brukes til å ringe etter vikarer, personalarbeid etc.</t>
  </si>
  <si>
    <t>Forutsetninger brukt i beregningene (kommer fra data ovenfor i arket)</t>
  </si>
  <si>
    <t>Anslått tidsforbruk pr. vakt</t>
  </si>
  <si>
    <t>Eksprimenter med bemanningstall, vaktordinger i området, b25:q26, nye tall i y26 etc, bruk av overtid, ekstrvakter etc. Angi/ juster eventull type vakt i d24.</t>
  </si>
  <si>
    <t>NB; arkene er i utgangspunktet låst for å sikre modellberegningene. For den kyndige bruker kan de eventuelt låses opp, det er ikke noe passord.</t>
  </si>
  <si>
    <t>Alternativ løsning i år</t>
  </si>
  <si>
    <t>Budsjettall</t>
  </si>
  <si>
    <t>Momenter</t>
  </si>
  <si>
    <t>Forskjell på lyseblått og gult?</t>
  </si>
  <si>
    <t xml:space="preserve">For bredt - utskrift </t>
  </si>
  <si>
    <t>Hvordan gjorde vi det i fjor</t>
  </si>
  <si>
    <t>Antall tilstede og arbeidstid fylles ut på grunnlag av bemanningsplanen</t>
  </si>
  <si>
    <t>Lør- og søn-dags-tillegg</t>
  </si>
  <si>
    <t>Hellig-dags-tillegg</t>
  </si>
  <si>
    <t>Natt-tillegg</t>
  </si>
  <si>
    <t>Innleie av vikarer til ferie-avvik-ling</t>
  </si>
  <si>
    <t>Pen-sjons-premie</t>
  </si>
  <si>
    <t>Arbeids-giver-avgift</t>
  </si>
  <si>
    <t>Overtid  (gjennomsnitt)</t>
  </si>
  <si>
    <t>Fast ansatte utover bemannings-plan (overbooking)</t>
  </si>
  <si>
    <t>Arbeidstid pr uke</t>
  </si>
  <si>
    <t>Annen bruk av vikarer</t>
  </si>
  <si>
    <t>Lørdag- og sørndagstillegg, tillegg utover minimumstats i tariffavtalen</t>
  </si>
  <si>
    <t>Lønnsutgifter fratrukket refusjon folketrygden (medregnet dagstillinger)</t>
  </si>
  <si>
    <t>Hvor ofte har ansatte helgevakt (eksempel: tallet 3 betyr vakt hver tredje helg). Kan også angis med desimal, dersom f eks noen tar en eller to vakter i helga de jobber, eller at noen  har "hinketurnus".</t>
  </si>
  <si>
    <t>Fordeling av ansatte i ulike vaktordninger på stillingsstørrelse</t>
  </si>
  <si>
    <t>Antall ansatte som fyller faglige kvalifikasjonskrav til stillingen/funksjonen de utfører (AUTORISERTE )</t>
  </si>
  <si>
    <t>Gjennomsnitt-lig grunnlønn pr. årsverk</t>
  </si>
  <si>
    <t>Antall årsverk  (inkl fast ansatte) utover be. plan</t>
  </si>
  <si>
    <t>Andel innleide ved korttids-fravær</t>
  </si>
  <si>
    <t>Totalt antall vakter  leid inn (hentet fra turnussystem)</t>
  </si>
  <si>
    <t>Korttids-fravær</t>
  </si>
  <si>
    <t xml:space="preserve">Gjennomsnittlig antall timer pr. uke avsatt i turnusplan </t>
  </si>
  <si>
    <t>Anslått timer pr år brukt til tilsetting</t>
  </si>
  <si>
    <t>Anslag tidsforbruk</t>
  </si>
  <si>
    <t>Gjennom-snittlig grunnlønn</t>
  </si>
  <si>
    <t>Antall nytil-settinger</t>
  </si>
  <si>
    <t>Personal- og ledelsesarbeid ansatte</t>
  </si>
  <si>
    <t>Personal- og ledelsesarbeid nytilsettinger</t>
  </si>
  <si>
    <t>Bereg-net time-lønn</t>
  </si>
  <si>
    <t>Satser og lignende. Det er nødvendig å gå gjennom forslaget til satser i regnearket og foreta eventuelle justeringer</t>
  </si>
  <si>
    <t>Tallene i celle l29 og l30 skal være omtrent like. Gjør justeringer i informasjonen lagt inn tidligere i regnearket (linje 15 til 26) til disse summene blir omtrent like</t>
  </si>
  <si>
    <t>Informasjon lagt inn under punkt 6 blir brukt som grunnlag for å beregne tiden som brukes til å ringe etter vikarer. personalarbeid etc. Det er beregnet og vist i området f49:j52). Legg inn anslag for tidsbruk til innleie pr vakt (k49:l49), og antall timer per tidsbruk  til tilsetting (o51:o52) og eventuell tidsbruk pr uke hver ansatt har til samarbeidsturnus etc legges inn (m50). Legg inn gjennomsnittlig lønnsnivå (r49:r52) og arbeidstid pr uke (s49:s52) .</t>
  </si>
  <si>
    <t>Andel  av faste vakter</t>
  </si>
  <si>
    <t>Satser og liknende. Alle tallene er i utgangspunktet koblet til arket "i fjor".</t>
  </si>
  <si>
    <t>Satser og liknende. Alle tallene er i utgangspunktet koblet til arket "plan i år"</t>
  </si>
  <si>
    <t>Alle tallene er i utgangspunktet koblet til arket "i fjor". De blå tallene justeres slik at det stemmer overens med planlagt situasjon i år. Alle tall ellers er beregnet</t>
  </si>
  <si>
    <t>Alle tallene er i utgangspunktet koblet til arket "plan i år". De blå tallene justeres hvor å beregne alternativer. Alle tall ellers er beregnet</t>
  </si>
  <si>
    <t>Innleie til  ferie-avvikling</t>
  </si>
  <si>
    <t>Innleie av vikarer til annen bruk</t>
  </si>
  <si>
    <r>
      <t xml:space="preserve">Følgende informasjon legges inn fra  </t>
    </r>
    <r>
      <rPr>
        <b/>
        <sz val="9"/>
        <rFont val="Calibri"/>
        <family val="2"/>
        <scheme val="minor"/>
      </rPr>
      <t xml:space="preserve">budsjettet </t>
    </r>
    <r>
      <rPr>
        <sz val="9"/>
        <rFont val="Calibri"/>
        <family val="2"/>
        <scheme val="minor"/>
      </rPr>
      <t xml:space="preserve">fra siste år i celle l30: Sum lønnsutgifter + eventuell kjøp fra vikarbyrå - refusjoner fra folketrygden. Om ønskelig kan også summer på enkeltposter legges inn i celle c30:k30 </t>
    </r>
  </si>
  <si>
    <t>Legg inn gjennomsnittlig årslønn i w25/w26, samt anslag for overtid og innleie av vikarer i s25:v26</t>
  </si>
  <si>
    <t>Legg inn hvor hvor mange av de ansatte og vikarer i uliker stillinger lagt under punkt 7 som fyller de formelle kvalifikasjonene for stillingene de går i ( Q35:T35 og t36), Sjekk at andelen beregnet i linjene 40 til 42 ser fornuftige ut.</t>
  </si>
  <si>
    <t xml:space="preserve">Se på arket "oppsumm" og de vedlagte grafene for å se på utslagene. </t>
  </si>
  <si>
    <t xml:space="preserve">Det er helgevaktene som er sentrale vedr. stillingsstørrelse etc. Legg inn nye tall i området b35:j43. Juster eventuelle tall i øvrige blå felt. </t>
  </si>
  <si>
    <r>
      <t xml:space="preserve">Skal legges inn, alle tall ellers er beregnet. </t>
    </r>
    <r>
      <rPr>
        <i/>
        <sz val="9"/>
        <rFont val="Calibri"/>
        <family val="2"/>
        <scheme val="minor"/>
      </rPr>
      <t xml:space="preserve"> NB: Tallene som allerede ligger inne er bare ment som en illustrasjon</t>
    </r>
  </si>
  <si>
    <t>Langvakt</t>
  </si>
  <si>
    <t>Det er også mulig å legge inn andre vaktordninger. I så fall endres overskriften i det blå feltet  i celle d24</t>
  </si>
  <si>
    <t>Gjennomsnittlig stilllingsstørrelse</t>
  </si>
  <si>
    <t>Legg inn sykefraværet (p29:p30), andel innleide ved korttidsfravær (q30), antall vakter  leid innt (w29) og nytilsettinger (aa29)</t>
  </si>
  <si>
    <t>Legg inn hvor  mange av de ansatte og vikarer i ulike stillinger lagt under punkt 7 som fyller de formelle kvalifikasjonene for stillingene de går i ( Q35:T35 og t36), Sjekk at andelen beregnet i linjene 40 til 42 ser fornuftige ut.</t>
  </si>
  <si>
    <t>Informasjon lagt inn under punkt 6 blir brukt som grunnlag for å beregne tiden som brukes til å ringe etter vikarer. personalarbeid etc. Det er beregnet og vist i området f49:j52). Legg inn anslag for tidsbruk til innleie pr vakt (k49:l49), og antall timer per tidsbruk  til tilsetting (o51:o52) og eventuell tidsbruk pr uke hver ansatt har til samarbeidsturnus etc. legges inn (m50). Legg inn gjennomsnittlig lønnsnivå (r49:r52) og arbeidstid pr uke (s49:s52) .</t>
  </si>
  <si>
    <t>Lønnsutgifter fratrukket refusjon folketrygden (medregnet dagstillinger)+ utgifter til vikarbyrå</t>
  </si>
  <si>
    <t>Antall årsverk i bemanningsplanen</t>
  </si>
  <si>
    <t>Sjekk at beregnede antall årsverk i R25:R26 stemmer overens med informasjonen fra turnussystemet. Gjør justeringer i punkt 1. til de stemmer overens</t>
  </si>
  <si>
    <t>Sjekk at beregnede antall årsverk i r25:r26 stemmer overens med informasjonen fra turnussystemet. Gjør justeringer i punkt 1. til de stemmer overens</t>
  </si>
  <si>
    <t>Fast ansatte utover bemanningsplan</t>
  </si>
  <si>
    <t>Antall fast ansatte i de ulike vaktordninger innenfor plan, utover plan og faste ringevikarer</t>
  </si>
  <si>
    <t>Andel fravær</t>
  </si>
  <si>
    <t>Tillegg</t>
  </si>
  <si>
    <t>Pensjonspremie og arbeidsgiveravgift</t>
  </si>
  <si>
    <t>Innleie av vikarer (utover ref folketrygd og eks ferieavvikling )</t>
  </si>
  <si>
    <t>Grunn-lønn faste stillinger</t>
  </si>
  <si>
    <t>Legg inn sykefraværet (p29:p30), andel innleie ved korttidsfravær (q30), antall vakter  leid innt (w29) og nytilsettinger (aa29)</t>
  </si>
  <si>
    <r>
      <t xml:space="preserve">Legg inn gjennomsnittlig årslønn i w25/w26 (husk at dette er gjennomsnitt for fjoråret), samt forsøk å legge inn </t>
    </r>
    <r>
      <rPr>
        <b/>
        <sz val="9"/>
        <rFont val="Calibri"/>
        <family val="2"/>
        <scheme val="minor"/>
      </rPr>
      <t>anslag</t>
    </r>
    <r>
      <rPr>
        <sz val="9"/>
        <rFont val="Calibri"/>
        <family val="2"/>
        <scheme val="minor"/>
      </rPr>
      <t xml:space="preserve"> for overtid og innleie av vikarer i s25:v26. Dette er andel av den tiden som brukes i tunus. Hvis en f eks leier inn ferievikarer i 5 uker blir andelen ca 10%; 5/47,  da årsverkene som er beregent i turnus dekker 47 uker. Når det gjelder annen bruk av innleie er dette summen av innleie for å dekke ekstrbehov som ikke inngår i turnusen og og innleie for å dekke fravær en ikke en får refusjon for ( langtidssykefravær og barselpermisjon. Eventuell bruk av vikarbyrå (hvis det ikke brukes til å dekke opp ledige stillinger) skal også inngå her</t>
    </r>
  </si>
  <si>
    <r>
      <t xml:space="preserve">Følgende informasjon legges inn fra  </t>
    </r>
    <r>
      <rPr>
        <b/>
        <sz val="9"/>
        <rFont val="Calibri"/>
        <family val="2"/>
        <scheme val="minor"/>
      </rPr>
      <t xml:space="preserve">regnskapet </t>
    </r>
    <r>
      <rPr>
        <sz val="9"/>
        <rFont val="Calibri"/>
        <family val="2"/>
        <scheme val="minor"/>
      </rPr>
      <t xml:space="preserve">fra siste år i celle l30: Sum lønnsutgifter + eventuell kjøp fra vikarbyrå - refusjoner fra folketrygden. Om ønskelig kan også summer på enkeltposter legges inn i celle c30:k30; NB; dette summeres ikke i L30. </t>
    </r>
  </si>
  <si>
    <t>Bemanningsplan fratrukket ubesatte stillinger</t>
  </si>
  <si>
    <t>Hull i turnus/ ikke besatte stillinger (oppgi antall årsverk)</t>
  </si>
  <si>
    <t>Antall årsverk ikke besatte stillinger/ hull i turnus</t>
  </si>
  <si>
    <t>Legg inn tallene fra bemanningsplanen i området (b25:Q26), samt eventuelle årsverk fast ansatte utover årsverkene som inngår i bemanningsplanen i Y25. Dersom dere har ubesatte stillinger i planen legg inn antall årsverk det utgjør i AA41</t>
  </si>
  <si>
    <t xml:space="preserve">Organisering av helgevaktene  er av sentrale betydning for stillingsstørrelsen. Legg inn antall fast ansatte med ulik hyppighet for helgevaktene (b35:j39). For å få fram hvor mange som møter brukerne/pasientene, legges inn antall vikarer utover fast ansatte  (f43:j43). </t>
  </si>
  <si>
    <t>Juster tallene fra bemanningsplanen i området (b25:Q26), eventuelle årsverk fast ansatte utover årsverkene som inngår i bemanningsplanen i Y25 samt antall ubesatte stilllinger (aa41) fra i fjor.</t>
  </si>
  <si>
    <t xml:space="preserve">Organisering av helgevaktene  er av sentrale betydning for stillingsstørrelsen. Juster antall fast ansatte med ulik hyppighet for helgevaktene (b35:j39). For å få fram hvor mange som møter brukerne/pasientene, legges inn/justeres antall vikarer utover fast ansatte  (f43:j43). </t>
  </si>
  <si>
    <t>Pensjonskostnad, andel av fastlønn og fasre tillegg</t>
  </si>
  <si>
    <t>Alle andre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</si>
</sst>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64" formatCode="0.00_)"/>
    <numFmt numFmtId="165" formatCode="0.0_)"/>
    <numFmt numFmtId="166" formatCode="0%"/>
    <numFmt numFmtId="167" formatCode="0_)"/>
    <numFmt numFmtId="168" formatCode="0.0\ %"/>
    <numFmt numFmtId="169" formatCode="0.0"/>
    <numFmt numFmtId="170" formatCode="0.0%"/>
    <numFmt numFmtId="171" formatCode="hh:mm;@"/>
    <numFmt numFmtId="172" formatCode="_ * #,##0_ ;_ * \-#,##0_ ;_ * &quot;-&quot;??_ ;_ @_ "/>
  </numFmts>
  <fonts count="18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20"/>
      <name val="Arial"/>
      <family val="2"/>
    </font>
    <font>
      <sz val="12"/>
      <name val="CG Times (W1)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2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family val="2"/>
      <scheme val="minor"/>
    </font>
    <font>
      <i/>
      <sz val="10"/>
      <name val="Calibri"/>
      <family val="2"/>
      <scheme val="minor"/>
    </font>
    <font>
      <i/>
      <sz val="9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83">
    <xf numFmtId="0" fontId="0" fillId="0" borderId="0" xfId="0"/>
    <xf numFmtId="0" fontId="3" fillId="0" borderId="0" xfId="2"/>
    <xf numFmtId="0" fontId="3" fillId="0" borderId="17" xfId="2" applyBorder="1"/>
    <xf numFmtId="0" fontId="3" fillId="0" borderId="0" xfId="2" applyBorder="1"/>
    <xf numFmtId="0" fontId="1" fillId="0" borderId="17" xfId="2" applyFont="1" applyBorder="1"/>
    <xf numFmtId="0" fontId="1" fillId="0" borderId="0" xfId="2" applyFont="1"/>
    <xf numFmtId="0" fontId="1" fillId="0" borderId="0" xfId="2" applyFont="1" applyBorder="1"/>
    <xf numFmtId="167" fontId="1" fillId="0" borderId="3" xfId="2" applyNumberFormat="1" applyFont="1" applyBorder="1" applyProtection="1"/>
    <xf numFmtId="167" fontId="1" fillId="0" borderId="0" xfId="2" applyNumberFormat="1" applyFont="1" applyBorder="1" applyProtection="1"/>
    <xf numFmtId="167" fontId="1" fillId="0" borderId="0" xfId="2" applyNumberFormat="1" applyFont="1"/>
    <xf numFmtId="168" fontId="1" fillId="0" borderId="0" xfId="2" applyNumberFormat="1" applyFont="1"/>
    <xf numFmtId="0" fontId="4" fillId="2" borderId="2" xfId="2" applyFont="1" applyFill="1" applyBorder="1"/>
    <xf numFmtId="0" fontId="4" fillId="2" borderId="3" xfId="2" applyFont="1" applyFill="1" applyBorder="1" applyAlignment="1">
      <alignment horizontal="left"/>
    </xf>
    <xf numFmtId="0" fontId="1" fillId="2" borderId="2" xfId="2" applyFont="1" applyFill="1" applyBorder="1"/>
    <xf numFmtId="0" fontId="1" fillId="2" borderId="3" xfId="2" applyFont="1" applyFill="1" applyBorder="1"/>
    <xf numFmtId="0" fontId="1" fillId="2" borderId="4" xfId="2" applyFont="1" applyFill="1" applyBorder="1"/>
    <xf numFmtId="0" fontId="1" fillId="0" borderId="3" xfId="2" applyFont="1" applyBorder="1"/>
    <xf numFmtId="0" fontId="1" fillId="2" borderId="1" xfId="2" applyFont="1" applyFill="1" applyBorder="1"/>
    <xf numFmtId="0" fontId="5" fillId="0" borderId="17" xfId="2" applyFont="1" applyBorder="1"/>
    <xf numFmtId="0" fontId="4" fillId="0" borderId="14" xfId="2" applyFont="1" applyBorder="1"/>
    <xf numFmtId="0" fontId="1" fillId="2" borderId="0" xfId="2" applyFont="1" applyFill="1" applyBorder="1"/>
    <xf numFmtId="0" fontId="1" fillId="2" borderId="2" xfId="2" applyFont="1" applyFill="1" applyBorder="1" applyAlignment="1">
      <alignment horizontal="left"/>
    </xf>
    <xf numFmtId="0" fontId="1" fillId="2" borderId="6" xfId="2" applyFont="1" applyFill="1" applyBorder="1" applyAlignment="1">
      <alignment horizontal="left"/>
    </xf>
    <xf numFmtId="0" fontId="1" fillId="2" borderId="14" xfId="2" applyFont="1" applyFill="1" applyBorder="1" applyAlignment="1">
      <alignment horizontal="left"/>
    </xf>
    <xf numFmtId="0" fontId="1" fillId="2" borderId="0" xfId="2" applyFont="1" applyFill="1" applyBorder="1" applyAlignment="1">
      <alignment horizontal="left"/>
    </xf>
    <xf numFmtId="0" fontId="1" fillId="2" borderId="0" xfId="2" applyFont="1" applyFill="1" applyBorder="1" applyAlignment="1">
      <alignment horizontal="left" wrapText="1"/>
    </xf>
    <xf numFmtId="0" fontId="1" fillId="0" borderId="14" xfId="2" applyFont="1" applyBorder="1"/>
    <xf numFmtId="0" fontId="1" fillId="2" borderId="0" xfId="2" applyFont="1" applyFill="1" applyBorder="1" applyAlignment="1"/>
    <xf numFmtId="0" fontId="1" fillId="2" borderId="7" xfId="2" applyFont="1" applyFill="1" applyBorder="1" applyAlignment="1">
      <alignment horizontal="left"/>
    </xf>
    <xf numFmtId="0" fontId="1" fillId="2" borderId="18" xfId="2" applyFont="1" applyFill="1" applyBorder="1" applyAlignment="1">
      <alignment horizontal="left"/>
    </xf>
    <xf numFmtId="0" fontId="3" fillId="0" borderId="13" xfId="2" applyBorder="1"/>
    <xf numFmtId="0" fontId="1" fillId="0" borderId="2" xfId="2" applyFont="1" applyBorder="1"/>
    <xf numFmtId="0" fontId="1" fillId="2" borderId="19" xfId="2" applyFont="1" applyFill="1" applyBorder="1" applyAlignment="1">
      <alignment horizontal="left"/>
    </xf>
    <xf numFmtId="0" fontId="1" fillId="2" borderId="20" xfId="2" applyFont="1" applyFill="1" applyBorder="1"/>
    <xf numFmtId="0" fontId="1" fillId="2" borderId="21" xfId="2" applyFont="1" applyFill="1" applyBorder="1" applyAlignment="1">
      <alignment horizontal="left"/>
    </xf>
    <xf numFmtId="0" fontId="1" fillId="2" borderId="3" xfId="2" applyFont="1" applyFill="1" applyBorder="1" applyAlignment="1">
      <alignment horizontal="left"/>
    </xf>
    <xf numFmtId="0" fontId="1" fillId="2" borderId="3" xfId="2" applyFont="1" applyFill="1" applyBorder="1" applyAlignment="1">
      <alignment horizontal="left" wrapText="1"/>
    </xf>
    <xf numFmtId="0" fontId="1" fillId="2" borderId="3" xfId="2" applyFont="1" applyFill="1" applyBorder="1" applyAlignment="1"/>
    <xf numFmtId="0" fontId="1" fillId="2" borderId="4" xfId="2" applyFont="1" applyFill="1" applyBorder="1" applyAlignment="1">
      <alignment horizontal="left"/>
    </xf>
    <xf numFmtId="0" fontId="1" fillId="2" borderId="1" xfId="2" applyFont="1" applyFill="1" applyBorder="1" applyAlignment="1">
      <alignment horizontal="left"/>
    </xf>
    <xf numFmtId="0" fontId="1" fillId="0" borderId="22" xfId="2" applyFont="1" applyBorder="1"/>
    <xf numFmtId="0" fontId="1" fillId="0" borderId="17" xfId="2" applyFont="1" applyBorder="1" applyAlignment="1">
      <alignment horizontal="left"/>
    </xf>
    <xf numFmtId="0" fontId="1" fillId="0" borderId="0" xfId="2" applyFont="1" applyBorder="1" applyAlignment="1">
      <alignment horizontal="left"/>
    </xf>
    <xf numFmtId="0" fontId="1" fillId="0" borderId="0" xfId="2" applyFont="1" applyAlignment="1">
      <alignment horizontal="left"/>
    </xf>
    <xf numFmtId="1" fontId="1" fillId="0" borderId="3" xfId="2" applyNumberFormat="1" applyFont="1" applyBorder="1"/>
    <xf numFmtId="0" fontId="3" fillId="0" borderId="5" xfId="2" applyBorder="1"/>
    <xf numFmtId="0" fontId="1" fillId="0" borderId="9" xfId="2" applyFont="1" applyBorder="1"/>
    <xf numFmtId="0" fontId="1" fillId="2" borderId="8" xfId="2" applyFont="1" applyFill="1" applyBorder="1" applyAlignment="1">
      <alignment horizontal="left"/>
    </xf>
    <xf numFmtId="0" fontId="1" fillId="2" borderId="10" xfId="2" applyFont="1" applyFill="1" applyBorder="1" applyAlignment="1">
      <alignment horizontal="left"/>
    </xf>
    <xf numFmtId="0" fontId="1" fillId="2" borderId="23" xfId="2" applyFont="1" applyFill="1" applyBorder="1" applyAlignment="1">
      <alignment horizontal="left"/>
    </xf>
    <xf numFmtId="0" fontId="1" fillId="2" borderId="10" xfId="2" applyFont="1" applyFill="1" applyBorder="1"/>
    <xf numFmtId="0" fontId="1" fillId="2" borderId="8" xfId="2" applyFont="1" applyFill="1" applyBorder="1" applyAlignment="1"/>
    <xf numFmtId="9" fontId="1" fillId="2" borderId="10" xfId="2" applyNumberFormat="1" applyFont="1" applyFill="1" applyBorder="1" applyAlignment="1"/>
    <xf numFmtId="9" fontId="1" fillId="2" borderId="8" xfId="2" applyNumberFormat="1" applyFont="1" applyFill="1" applyBorder="1" applyAlignment="1"/>
    <xf numFmtId="0" fontId="1" fillId="2" borderId="10" xfId="2" applyFont="1" applyFill="1" applyBorder="1" applyAlignment="1"/>
    <xf numFmtId="0" fontId="1" fillId="2" borderId="9" xfId="2" applyFont="1" applyFill="1" applyBorder="1"/>
    <xf numFmtId="0" fontId="1" fillId="0" borderId="8" xfId="2" applyFont="1" applyBorder="1" applyAlignment="1">
      <alignment horizontal="left"/>
    </xf>
    <xf numFmtId="0" fontId="1" fillId="0" borderId="10" xfId="2" applyFont="1" applyBorder="1" applyAlignment="1">
      <alignment horizontal="left"/>
    </xf>
    <xf numFmtId="0" fontId="1" fillId="2" borderId="9" xfId="2" applyFont="1" applyFill="1" applyBorder="1" applyAlignment="1">
      <alignment horizontal="left"/>
    </xf>
    <xf numFmtId="0" fontId="1" fillId="2" borderId="24" xfId="2" applyFont="1" applyFill="1" applyBorder="1" applyAlignment="1">
      <alignment horizontal="left"/>
    </xf>
    <xf numFmtId="0" fontId="1" fillId="0" borderId="25" xfId="2" applyFont="1" applyBorder="1" applyAlignment="1">
      <alignment horizontal="left"/>
    </xf>
    <xf numFmtId="0" fontId="1" fillId="0" borderId="24" xfId="2" applyFont="1" applyBorder="1" applyAlignment="1">
      <alignment horizontal="left"/>
    </xf>
    <xf numFmtId="0" fontId="1" fillId="0" borderId="25" xfId="2" applyFont="1" applyBorder="1"/>
    <xf numFmtId="0" fontId="1" fillId="0" borderId="10" xfId="2" applyFont="1" applyBorder="1"/>
    <xf numFmtId="0" fontId="3" fillId="0" borderId="10" xfId="2" applyBorder="1"/>
    <xf numFmtId="9" fontId="1" fillId="0" borderId="10" xfId="2" applyNumberFormat="1" applyFont="1" applyBorder="1"/>
    <xf numFmtId="9" fontId="1" fillId="0" borderId="10" xfId="3" applyFont="1" applyBorder="1"/>
    <xf numFmtId="17" fontId="1" fillId="0" borderId="14" xfId="2" applyNumberFormat="1" applyFont="1" applyBorder="1"/>
    <xf numFmtId="164" fontId="1" fillId="3" borderId="0" xfId="2" applyNumberFormat="1" applyFont="1" applyFill="1" applyBorder="1" applyProtection="1"/>
    <xf numFmtId="164" fontId="1" fillId="3" borderId="14" xfId="2" applyNumberFormat="1" applyFont="1" applyFill="1" applyBorder="1" applyProtection="1"/>
    <xf numFmtId="165" fontId="1" fillId="3" borderId="2" xfId="2" applyNumberFormat="1" applyFont="1" applyFill="1" applyBorder="1" applyProtection="1"/>
    <xf numFmtId="165" fontId="1" fillId="3" borderId="3" xfId="2" applyNumberFormat="1" applyFont="1" applyFill="1" applyBorder="1" applyProtection="1"/>
    <xf numFmtId="165" fontId="1" fillId="3" borderId="1" xfId="2" applyNumberFormat="1" applyFont="1" applyFill="1" applyBorder="1" applyProtection="1"/>
    <xf numFmtId="165" fontId="1" fillId="3" borderId="0" xfId="2" applyNumberFormat="1" applyFont="1" applyFill="1" applyBorder="1" applyProtection="1"/>
    <xf numFmtId="2" fontId="1" fillId="0" borderId="4" xfId="2" applyNumberFormat="1" applyFont="1" applyBorder="1" applyProtection="1"/>
    <xf numFmtId="1" fontId="1" fillId="0" borderId="0" xfId="2" applyNumberFormat="1" applyFont="1" applyBorder="1" applyProtection="1"/>
    <xf numFmtId="1" fontId="1" fillId="3" borderId="4" xfId="2" applyNumberFormat="1" applyFont="1" applyFill="1" applyBorder="1"/>
    <xf numFmtId="1" fontId="1" fillId="0" borderId="0" xfId="2" applyNumberFormat="1" applyFont="1" applyBorder="1"/>
    <xf numFmtId="1" fontId="1" fillId="0" borderId="4" xfId="2" applyNumberFormat="1" applyFont="1" applyBorder="1"/>
    <xf numFmtId="1" fontId="1" fillId="0" borderId="2" xfId="2" applyNumberFormat="1" applyFont="1" applyBorder="1" applyProtection="1"/>
    <xf numFmtId="1" fontId="1" fillId="0" borderId="3" xfId="2" applyNumberFormat="1" applyFont="1" applyBorder="1" applyProtection="1"/>
    <xf numFmtId="169" fontId="1" fillId="0" borderId="3" xfId="2" applyNumberFormat="1" applyFont="1" applyBorder="1"/>
    <xf numFmtId="169" fontId="1" fillId="0" borderId="1" xfId="2" applyNumberFormat="1" applyFont="1" applyBorder="1"/>
    <xf numFmtId="166" fontId="1" fillId="0" borderId="0" xfId="2" applyNumberFormat="1" applyFont="1" applyBorder="1" applyProtection="1"/>
    <xf numFmtId="0" fontId="1" fillId="3" borderId="4" xfId="2" applyFont="1" applyFill="1" applyBorder="1"/>
    <xf numFmtId="1" fontId="1" fillId="3" borderId="14" xfId="2" applyNumberFormat="1" applyFont="1" applyFill="1" applyBorder="1"/>
    <xf numFmtId="1" fontId="1" fillId="3" borderId="18" xfId="2" applyNumberFormat="1" applyFont="1" applyFill="1" applyBorder="1"/>
    <xf numFmtId="9" fontId="1" fillId="3" borderId="0" xfId="2" applyNumberFormat="1" applyFont="1" applyFill="1" applyBorder="1"/>
    <xf numFmtId="0" fontId="1" fillId="0" borderId="4" xfId="2" applyFont="1" applyBorder="1"/>
    <xf numFmtId="165" fontId="1" fillId="4" borderId="0" xfId="2" applyNumberFormat="1" applyFont="1" applyFill="1" applyBorder="1" applyProtection="1"/>
    <xf numFmtId="167" fontId="1" fillId="0" borderId="14" xfId="2" applyNumberFormat="1" applyFont="1" applyBorder="1" applyProtection="1"/>
    <xf numFmtId="165" fontId="1" fillId="0" borderId="0" xfId="2" applyNumberFormat="1" applyFont="1" applyBorder="1" applyProtection="1"/>
    <xf numFmtId="165" fontId="1" fillId="0" borderId="0" xfId="2" applyNumberFormat="1" applyFont="1" applyBorder="1"/>
    <xf numFmtId="165" fontId="1" fillId="3" borderId="14" xfId="2" applyNumberFormat="1" applyFont="1" applyFill="1" applyBorder="1" applyProtection="1"/>
    <xf numFmtId="165" fontId="1" fillId="3" borderId="18" xfId="2" applyNumberFormat="1" applyFont="1" applyFill="1" applyBorder="1" applyProtection="1"/>
    <xf numFmtId="2" fontId="1" fillId="0" borderId="7" xfId="2" applyNumberFormat="1" applyFont="1" applyBorder="1" applyProtection="1"/>
    <xf numFmtId="1" fontId="1" fillId="3" borderId="7" xfId="2" applyNumberFormat="1" applyFont="1" applyFill="1" applyBorder="1"/>
    <xf numFmtId="1" fontId="1" fillId="0" borderId="7" xfId="2" applyNumberFormat="1" applyFont="1" applyBorder="1"/>
    <xf numFmtId="1" fontId="1" fillId="0" borderId="14" xfId="2" applyNumberFormat="1" applyFont="1" applyBorder="1" applyProtection="1"/>
    <xf numFmtId="169" fontId="1" fillId="0" borderId="0" xfId="2" applyNumberFormat="1" applyFont="1" applyBorder="1"/>
    <xf numFmtId="169" fontId="1" fillId="0" borderId="18" xfId="2" applyNumberFormat="1" applyFont="1" applyBorder="1"/>
    <xf numFmtId="0" fontId="1" fillId="3" borderId="7" xfId="2" applyFont="1" applyFill="1" applyBorder="1"/>
    <xf numFmtId="0" fontId="1" fillId="0" borderId="7" xfId="2" applyFont="1" applyBorder="1"/>
    <xf numFmtId="17" fontId="1" fillId="0" borderId="8" xfId="2" applyNumberFormat="1" applyFont="1" applyBorder="1"/>
    <xf numFmtId="0" fontId="1" fillId="0" borderId="8" xfId="2" applyFont="1" applyBorder="1"/>
    <xf numFmtId="164" fontId="1" fillId="3" borderId="8" xfId="2" applyNumberFormat="1" applyFont="1" applyFill="1" applyBorder="1" applyProtection="1"/>
    <xf numFmtId="164" fontId="1" fillId="3" borderId="10" xfId="2" applyNumberFormat="1" applyFont="1" applyFill="1" applyBorder="1" applyProtection="1"/>
    <xf numFmtId="165" fontId="1" fillId="3" borderId="8" xfId="2" applyNumberFormat="1" applyFont="1" applyFill="1" applyBorder="1" applyProtection="1"/>
    <xf numFmtId="165" fontId="1" fillId="3" borderId="10" xfId="2" applyNumberFormat="1" applyFont="1" applyFill="1" applyBorder="1" applyProtection="1"/>
    <xf numFmtId="165" fontId="1" fillId="3" borderId="5" xfId="2" applyNumberFormat="1" applyFont="1" applyFill="1" applyBorder="1" applyProtection="1"/>
    <xf numFmtId="2" fontId="1" fillId="0" borderId="9" xfId="2" applyNumberFormat="1" applyFont="1" applyBorder="1" applyProtection="1"/>
    <xf numFmtId="1" fontId="1" fillId="0" borderId="10" xfId="2" applyNumberFormat="1" applyFont="1" applyBorder="1" applyProtection="1"/>
    <xf numFmtId="1" fontId="1" fillId="3" borderId="9" xfId="2" applyNumberFormat="1" applyFont="1" applyFill="1" applyBorder="1"/>
    <xf numFmtId="1" fontId="1" fillId="0" borderId="10" xfId="2" applyNumberFormat="1" applyFont="1" applyBorder="1"/>
    <xf numFmtId="1" fontId="1" fillId="0" borderId="9" xfId="2" applyNumberFormat="1" applyFont="1" applyBorder="1"/>
    <xf numFmtId="1" fontId="1" fillId="0" borderId="8" xfId="2" applyNumberFormat="1" applyFont="1" applyBorder="1" applyProtection="1"/>
    <xf numFmtId="169" fontId="1" fillId="0" borderId="10" xfId="2" applyNumberFormat="1" applyFont="1" applyBorder="1"/>
    <xf numFmtId="169" fontId="1" fillId="0" borderId="5" xfId="2" applyNumberFormat="1" applyFont="1" applyBorder="1"/>
    <xf numFmtId="166" fontId="1" fillId="0" borderId="10" xfId="2" applyNumberFormat="1" applyFont="1" applyBorder="1" applyProtection="1"/>
    <xf numFmtId="0" fontId="1" fillId="3" borderId="9" xfId="2" applyFont="1" applyFill="1" applyBorder="1"/>
    <xf numFmtId="1" fontId="1" fillId="3" borderId="8" xfId="2" applyNumberFormat="1" applyFont="1" applyFill="1" applyBorder="1"/>
    <xf numFmtId="1" fontId="1" fillId="3" borderId="5" xfId="2" applyNumberFormat="1" applyFont="1" applyFill="1" applyBorder="1"/>
    <xf numFmtId="9" fontId="1" fillId="3" borderId="10" xfId="2" applyNumberFormat="1" applyFont="1" applyFill="1" applyBorder="1"/>
    <xf numFmtId="165" fontId="1" fillId="4" borderId="10" xfId="2" applyNumberFormat="1" applyFont="1" applyFill="1" applyBorder="1" applyProtection="1"/>
    <xf numFmtId="167" fontId="1" fillId="0" borderId="8" xfId="2" applyNumberFormat="1" applyFont="1" applyBorder="1" applyProtection="1"/>
    <xf numFmtId="167" fontId="1" fillId="0" borderId="10" xfId="2" applyNumberFormat="1" applyFont="1" applyBorder="1" applyProtection="1"/>
    <xf numFmtId="165" fontId="1" fillId="0" borderId="10" xfId="2" applyNumberFormat="1" applyFont="1" applyBorder="1" applyProtection="1"/>
    <xf numFmtId="165" fontId="1" fillId="0" borderId="10" xfId="2" applyNumberFormat="1" applyFont="1" applyBorder="1"/>
    <xf numFmtId="0" fontId="3" fillId="0" borderId="18" xfId="2" applyBorder="1"/>
    <xf numFmtId="0" fontId="2" fillId="2" borderId="7" xfId="2" applyFont="1" applyFill="1" applyBorder="1" applyAlignment="1">
      <alignment horizontal="center" vertical="center" wrapText="1"/>
    </xf>
    <xf numFmtId="9" fontId="1" fillId="2" borderId="0" xfId="2" applyNumberFormat="1" applyFont="1" applyFill="1" applyBorder="1" applyAlignment="1"/>
    <xf numFmtId="9" fontId="1" fillId="2" borderId="14" xfId="2" applyNumberFormat="1" applyFont="1" applyFill="1" applyBorder="1" applyAlignment="1"/>
    <xf numFmtId="0" fontId="1" fillId="2" borderId="7" xfId="2" applyFont="1" applyFill="1" applyBorder="1"/>
    <xf numFmtId="9" fontId="1" fillId="0" borderId="0" xfId="2" applyNumberFormat="1" applyFont="1" applyBorder="1"/>
    <xf numFmtId="9" fontId="1" fillId="0" borderId="0" xfId="3" applyFont="1" applyBorder="1"/>
    <xf numFmtId="164" fontId="1" fillId="3" borderId="18" xfId="2" applyNumberFormat="1" applyFont="1" applyFill="1" applyBorder="1" applyProtection="1"/>
    <xf numFmtId="164" fontId="1" fillId="3" borderId="5" xfId="2" applyNumberFormat="1" applyFont="1" applyFill="1" applyBorder="1" applyProtection="1"/>
    <xf numFmtId="1" fontId="1" fillId="0" borderId="14" xfId="2" applyNumberFormat="1" applyFont="1" applyBorder="1"/>
    <xf numFmtId="1" fontId="1" fillId="3" borderId="0" xfId="2" applyNumberFormat="1" applyFont="1" applyFill="1" applyBorder="1"/>
    <xf numFmtId="0" fontId="1" fillId="0" borderId="18" xfId="2" applyFont="1" applyBorder="1"/>
    <xf numFmtId="164" fontId="1" fillId="0" borderId="9" xfId="2" applyNumberFormat="1" applyFont="1" applyBorder="1" applyProtection="1"/>
    <xf numFmtId="165" fontId="1" fillId="0" borderId="9" xfId="2" applyNumberFormat="1" applyFont="1" applyBorder="1"/>
    <xf numFmtId="1" fontId="1" fillId="0" borderId="8" xfId="2" applyNumberFormat="1" applyFont="1" applyBorder="1"/>
    <xf numFmtId="1" fontId="1" fillId="4" borderId="8" xfId="2" applyNumberFormat="1" applyFont="1" applyFill="1" applyBorder="1" applyProtection="1"/>
    <xf numFmtId="166" fontId="1" fillId="4" borderId="8" xfId="2" applyNumberFormat="1" applyFont="1" applyFill="1" applyBorder="1" applyProtection="1"/>
    <xf numFmtId="0" fontId="1" fillId="4" borderId="9" xfId="2" applyFont="1" applyFill="1" applyBorder="1"/>
    <xf numFmtId="165" fontId="1" fillId="4" borderId="23" xfId="2" applyNumberFormat="1" applyFont="1" applyFill="1" applyBorder="1" applyProtection="1"/>
    <xf numFmtId="9" fontId="1" fillId="0" borderId="9" xfId="2" applyNumberFormat="1" applyFont="1" applyBorder="1"/>
    <xf numFmtId="0" fontId="1" fillId="0" borderId="5" xfId="2" applyFont="1" applyBorder="1"/>
    <xf numFmtId="165" fontId="1" fillId="4" borderId="25" xfId="2" applyNumberFormat="1" applyFont="1" applyFill="1" applyBorder="1" applyProtection="1"/>
    <xf numFmtId="167" fontId="1" fillId="0" borderId="25" xfId="2" applyNumberFormat="1" applyFont="1" applyBorder="1" applyProtection="1"/>
    <xf numFmtId="164" fontId="1" fillId="0" borderId="7" xfId="2" applyNumberFormat="1" applyFont="1" applyBorder="1" applyProtection="1"/>
    <xf numFmtId="165" fontId="1" fillId="0" borderId="7" xfId="2" applyNumberFormat="1" applyFont="1" applyBorder="1"/>
    <xf numFmtId="1" fontId="1" fillId="4" borderId="14" xfId="2" applyNumberFormat="1" applyFont="1" applyFill="1" applyBorder="1" applyProtection="1"/>
    <xf numFmtId="166" fontId="1" fillId="4" borderId="14" xfId="2" applyNumberFormat="1" applyFont="1" applyFill="1" applyBorder="1" applyProtection="1"/>
    <xf numFmtId="0" fontId="1" fillId="4" borderId="7" xfId="2" applyFont="1" applyFill="1" applyBorder="1"/>
    <xf numFmtId="165" fontId="1" fillId="4" borderId="15" xfId="2" applyNumberFormat="1" applyFont="1" applyFill="1" applyBorder="1" applyProtection="1"/>
    <xf numFmtId="9" fontId="1" fillId="0" borderId="7" xfId="2" applyNumberFormat="1" applyFont="1" applyBorder="1"/>
    <xf numFmtId="165" fontId="1" fillId="4" borderId="17" xfId="2" applyNumberFormat="1" applyFont="1" applyFill="1" applyBorder="1" applyProtection="1"/>
    <xf numFmtId="165" fontId="1" fillId="4" borderId="0" xfId="2" applyNumberFormat="1" applyFont="1" applyFill="1" applyProtection="1"/>
    <xf numFmtId="167" fontId="1" fillId="0" borderId="17" xfId="2" applyNumberFormat="1" applyFont="1" applyBorder="1" applyProtection="1"/>
    <xf numFmtId="167" fontId="1" fillId="0" borderId="0" xfId="2" applyNumberFormat="1" applyFont="1" applyProtection="1"/>
    <xf numFmtId="166" fontId="1" fillId="0" borderId="0" xfId="2" applyNumberFormat="1" applyFont="1" applyProtection="1"/>
    <xf numFmtId="165" fontId="1" fillId="0" borderId="0" xfId="2" applyNumberFormat="1" applyFont="1" applyProtection="1"/>
    <xf numFmtId="1" fontId="1" fillId="0" borderId="0" xfId="2" applyNumberFormat="1" applyFont="1"/>
    <xf numFmtId="165" fontId="1" fillId="0" borderId="0" xfId="2" applyNumberFormat="1" applyFont="1"/>
    <xf numFmtId="166" fontId="1" fillId="0" borderId="8" xfId="2" applyNumberFormat="1" applyFont="1" applyBorder="1" applyProtection="1"/>
    <xf numFmtId="165" fontId="1" fillId="3" borderId="23" xfId="2" applyNumberFormat="1" applyFont="1" applyFill="1" applyBorder="1" applyProtection="1"/>
    <xf numFmtId="1" fontId="1" fillId="3" borderId="10" xfId="2" applyNumberFormat="1" applyFont="1" applyFill="1" applyBorder="1"/>
    <xf numFmtId="9" fontId="1" fillId="3" borderId="9" xfId="2" applyNumberFormat="1" applyFont="1" applyFill="1" applyBorder="1"/>
    <xf numFmtId="1" fontId="1" fillId="0" borderId="12" xfId="2" applyNumberFormat="1" applyFont="1" applyBorder="1"/>
    <xf numFmtId="0" fontId="3" fillId="0" borderId="4" xfId="2" applyBorder="1" applyAlignment="1">
      <alignment horizontal="center" vertical="center" wrapText="1"/>
    </xf>
    <xf numFmtId="17" fontId="1" fillId="0" borderId="0" xfId="2" applyNumberFormat="1" applyFont="1" applyBorder="1"/>
    <xf numFmtId="164" fontId="1" fillId="3" borderId="2" xfId="2" applyNumberFormat="1" applyFont="1" applyFill="1" applyBorder="1" applyProtection="1"/>
    <xf numFmtId="164" fontId="1" fillId="3" borderId="3" xfId="2" applyNumberFormat="1" applyFont="1" applyFill="1" applyBorder="1" applyProtection="1"/>
    <xf numFmtId="164" fontId="1" fillId="3" borderId="1" xfId="2" applyNumberFormat="1" applyFont="1" applyFill="1" applyBorder="1" applyProtection="1"/>
    <xf numFmtId="1" fontId="1" fillId="0" borderId="1" xfId="2" applyNumberFormat="1" applyFont="1" applyBorder="1"/>
    <xf numFmtId="1" fontId="1" fillId="0" borderId="4" xfId="2" applyNumberFormat="1" applyFont="1" applyBorder="1" applyProtection="1"/>
    <xf numFmtId="166" fontId="1" fillId="0" borderId="4" xfId="2" applyNumberFormat="1" applyFont="1" applyBorder="1" applyProtection="1"/>
    <xf numFmtId="0" fontId="1" fillId="3" borderId="0" xfId="2" applyFont="1" applyFill="1" applyBorder="1"/>
    <xf numFmtId="9" fontId="1" fillId="3" borderId="4" xfId="2" applyNumberFormat="1" applyFont="1" applyFill="1" applyBorder="1"/>
    <xf numFmtId="167" fontId="1" fillId="0" borderId="2" xfId="2" applyNumberFormat="1" applyFont="1" applyBorder="1" applyProtection="1"/>
    <xf numFmtId="0" fontId="3" fillId="0" borderId="9" xfId="2" applyBorder="1" applyAlignment="1">
      <alignment horizontal="center" vertical="center" wrapText="1"/>
    </xf>
    <xf numFmtId="17" fontId="1" fillId="0" borderId="10" xfId="2" applyNumberFormat="1" applyFont="1" applyBorder="1"/>
    <xf numFmtId="1" fontId="1" fillId="0" borderId="5" xfId="2" applyNumberFormat="1" applyFont="1" applyBorder="1"/>
    <xf numFmtId="1" fontId="1" fillId="0" borderId="9" xfId="2" applyNumberFormat="1" applyFont="1" applyBorder="1" applyProtection="1"/>
    <xf numFmtId="1" fontId="1" fillId="4" borderId="10" xfId="2" applyNumberFormat="1" applyFont="1" applyFill="1" applyBorder="1" applyProtection="1"/>
    <xf numFmtId="166" fontId="1" fillId="4" borderId="9" xfId="2" applyNumberFormat="1" applyFont="1" applyFill="1" applyBorder="1" applyProtection="1"/>
    <xf numFmtId="0" fontId="1" fillId="4" borderId="10" xfId="2" applyFont="1" applyFill="1" applyBorder="1"/>
    <xf numFmtId="165" fontId="1" fillId="4" borderId="8" xfId="2" applyNumberFormat="1" applyFont="1" applyFill="1" applyBorder="1" applyProtection="1"/>
    <xf numFmtId="165" fontId="1" fillId="4" borderId="5" xfId="2" applyNumberFormat="1" applyFont="1" applyFill="1" applyBorder="1" applyProtection="1"/>
    <xf numFmtId="0" fontId="3" fillId="0" borderId="7" xfId="2" applyBorder="1" applyAlignment="1">
      <alignment horizontal="center" vertical="center" wrapText="1"/>
    </xf>
    <xf numFmtId="1" fontId="1" fillId="0" borderId="18" xfId="2" applyNumberFormat="1" applyFont="1" applyBorder="1"/>
    <xf numFmtId="1" fontId="1" fillId="0" borderId="7" xfId="2" applyNumberFormat="1" applyFont="1" applyBorder="1" applyProtection="1"/>
    <xf numFmtId="1" fontId="1" fillId="4" borderId="0" xfId="2" applyNumberFormat="1" applyFont="1" applyFill="1" applyBorder="1" applyProtection="1"/>
    <xf numFmtId="166" fontId="1" fillId="4" borderId="7" xfId="2" applyNumberFormat="1" applyFont="1" applyFill="1" applyBorder="1" applyProtection="1"/>
    <xf numFmtId="0" fontId="1" fillId="4" borderId="0" xfId="2" applyFont="1" applyFill="1" applyBorder="1"/>
    <xf numFmtId="165" fontId="1" fillId="4" borderId="14" xfId="2" applyNumberFormat="1" applyFont="1" applyFill="1" applyBorder="1" applyProtection="1"/>
    <xf numFmtId="165" fontId="1" fillId="4" borderId="18" xfId="2" applyNumberFormat="1" applyFont="1" applyFill="1" applyBorder="1" applyProtection="1"/>
    <xf numFmtId="17" fontId="1" fillId="0" borderId="3" xfId="2" applyNumberFormat="1" applyFont="1" applyBorder="1"/>
    <xf numFmtId="0" fontId="1" fillId="3" borderId="3" xfId="2" applyFont="1" applyFill="1" applyBorder="1"/>
    <xf numFmtId="1" fontId="1" fillId="3" borderId="3" xfId="2" applyNumberFormat="1" applyFont="1" applyFill="1" applyBorder="1"/>
    <xf numFmtId="165" fontId="1" fillId="4" borderId="3" xfId="2" applyNumberFormat="1" applyFont="1" applyFill="1" applyBorder="1" applyProtection="1"/>
    <xf numFmtId="166" fontId="1" fillId="0" borderId="3" xfId="2" applyNumberFormat="1" applyFont="1" applyBorder="1" applyProtection="1"/>
    <xf numFmtId="165" fontId="1" fillId="0" borderId="3" xfId="2" applyNumberFormat="1" applyFont="1" applyBorder="1" applyProtection="1"/>
    <xf numFmtId="165" fontId="1" fillId="0" borderId="3" xfId="2" applyNumberFormat="1" applyFont="1" applyBorder="1"/>
    <xf numFmtId="0" fontId="3" fillId="0" borderId="3" xfId="2" applyBorder="1"/>
    <xf numFmtId="166" fontId="1" fillId="0" borderId="9" xfId="2" applyNumberFormat="1" applyFont="1" applyBorder="1" applyProtection="1"/>
    <xf numFmtId="0" fontId="1" fillId="3" borderId="10" xfId="2" applyFont="1" applyFill="1" applyBorder="1"/>
    <xf numFmtId="166" fontId="1" fillId="0" borderId="7" xfId="2" applyNumberFormat="1" applyFont="1" applyBorder="1" applyProtection="1"/>
    <xf numFmtId="9" fontId="1" fillId="3" borderId="7" xfId="2" applyNumberFormat="1" applyFont="1" applyFill="1" applyBorder="1"/>
    <xf numFmtId="0" fontId="3" fillId="0" borderId="9" xfId="2" applyBorder="1"/>
    <xf numFmtId="0" fontId="3" fillId="0" borderId="14" xfId="2" applyBorder="1"/>
    <xf numFmtId="0" fontId="3" fillId="0" borderId="2" xfId="2" applyBorder="1"/>
    <xf numFmtId="0" fontId="3" fillId="6" borderId="1" xfId="2" applyFill="1" applyBorder="1"/>
    <xf numFmtId="9" fontId="1" fillId="0" borderId="14" xfId="2" applyNumberFormat="1" applyFont="1" applyBorder="1"/>
    <xf numFmtId="0" fontId="1" fillId="6" borderId="18" xfId="2" applyFont="1" applyFill="1" applyBorder="1"/>
    <xf numFmtId="9" fontId="1" fillId="0" borderId="8" xfId="2" applyNumberFormat="1" applyFont="1" applyBorder="1"/>
    <xf numFmtId="164" fontId="1" fillId="0" borderId="0" xfId="2" applyNumberFormat="1" applyFont="1" applyBorder="1" applyProtection="1"/>
    <xf numFmtId="164" fontId="1" fillId="0" borderId="15" xfId="2" applyNumberFormat="1" applyFont="1" applyBorder="1" applyProtection="1"/>
    <xf numFmtId="164" fontId="1" fillId="0" borderId="14" xfId="2" applyNumberFormat="1" applyFont="1" applyBorder="1" applyProtection="1"/>
    <xf numFmtId="0" fontId="10" fillId="0" borderId="0" xfId="0" applyFont="1"/>
    <xf numFmtId="171" fontId="10" fillId="7" borderId="16" xfId="0" applyNumberFormat="1" applyFont="1" applyFill="1" applyBorder="1"/>
    <xf numFmtId="0" fontId="10" fillId="0" borderId="3" xfId="0" applyFont="1" applyBorder="1"/>
    <xf numFmtId="171" fontId="10" fillId="7" borderId="3" xfId="0" applyNumberFormat="1" applyFont="1" applyFill="1" applyBorder="1" applyAlignment="1">
      <alignment wrapText="1"/>
    </xf>
    <xf numFmtId="171" fontId="10" fillId="0" borderId="1" xfId="0" applyNumberFormat="1" applyFont="1" applyBorder="1"/>
    <xf numFmtId="171" fontId="10" fillId="0" borderId="10" xfId="0" applyNumberFormat="1" applyFont="1" applyBorder="1"/>
    <xf numFmtId="0" fontId="10" fillId="0" borderId="10" xfId="0" applyFont="1" applyBorder="1"/>
    <xf numFmtId="171" fontId="10" fillId="7" borderId="10" xfId="0" applyNumberFormat="1" applyFont="1" applyFill="1" applyBorder="1"/>
    <xf numFmtId="171" fontId="10" fillId="7" borderId="5" xfId="0" applyNumberFormat="1" applyFont="1" applyFill="1" applyBorder="1"/>
    <xf numFmtId="171" fontId="10" fillId="0" borderId="0" xfId="0" applyNumberFormat="1" applyFont="1" applyBorder="1"/>
    <xf numFmtId="0" fontId="10" fillId="0" borderId="0" xfId="0" applyFont="1" applyBorder="1"/>
    <xf numFmtId="171" fontId="10" fillId="7" borderId="0" xfId="0" applyNumberFormat="1" applyFont="1" applyFill="1" applyBorder="1"/>
    <xf numFmtId="0" fontId="10" fillId="2" borderId="0" xfId="2" applyFont="1" applyFill="1" applyBorder="1" applyAlignment="1">
      <alignment horizontal="center" vertical="center" wrapText="1"/>
    </xf>
    <xf numFmtId="0" fontId="11" fillId="0" borderId="0" xfId="2" applyFont="1" applyBorder="1"/>
    <xf numFmtId="0" fontId="10" fillId="0" borderId="0" xfId="2" applyFont="1"/>
    <xf numFmtId="0" fontId="9" fillId="0" borderId="17" xfId="2" applyFont="1" applyBorder="1"/>
    <xf numFmtId="0" fontId="10" fillId="0" borderId="0" xfId="2" applyFont="1" applyBorder="1"/>
    <xf numFmtId="0" fontId="11" fillId="0" borderId="0" xfId="2" applyFont="1"/>
    <xf numFmtId="0" fontId="10" fillId="7" borderId="0" xfId="2" applyFont="1" applyFill="1"/>
    <xf numFmtId="0" fontId="11" fillId="0" borderId="0" xfId="2" applyFont="1" applyAlignment="1">
      <alignment horizontal="left"/>
    </xf>
    <xf numFmtId="9" fontId="10" fillId="7" borderId="0" xfId="2" applyNumberFormat="1" applyFont="1" applyFill="1"/>
    <xf numFmtId="0" fontId="10" fillId="0" borderId="17" xfId="2" applyFont="1" applyBorder="1"/>
    <xf numFmtId="0" fontId="11" fillId="7" borderId="0" xfId="2" applyFont="1" applyFill="1"/>
    <xf numFmtId="0" fontId="10" fillId="0" borderId="3" xfId="2" applyFont="1" applyBorder="1"/>
    <xf numFmtId="0" fontId="10" fillId="0" borderId="17" xfId="2" applyFont="1" applyBorder="1" applyAlignment="1">
      <alignment horizontal="left"/>
    </xf>
    <xf numFmtId="0" fontId="10" fillId="0" borderId="0" xfId="2" applyFont="1" applyBorder="1" applyAlignment="1">
      <alignment horizontal="left"/>
    </xf>
    <xf numFmtId="0" fontId="10" fillId="0" borderId="0" xfId="2" applyFont="1" applyAlignment="1">
      <alignment horizontal="left"/>
    </xf>
    <xf numFmtId="0" fontId="10" fillId="0" borderId="0" xfId="2" applyFont="1" applyBorder="1" applyAlignment="1">
      <alignment horizontal="center"/>
    </xf>
    <xf numFmtId="1" fontId="10" fillId="7" borderId="0" xfId="2" applyNumberFormat="1" applyFont="1" applyFill="1"/>
    <xf numFmtId="0" fontId="10" fillId="0" borderId="10" xfId="2" applyFont="1" applyBorder="1" applyAlignment="1">
      <alignment horizontal="left"/>
    </xf>
    <xf numFmtId="0" fontId="10" fillId="0" borderId="24" xfId="2" applyFont="1" applyBorder="1" applyAlignment="1">
      <alignment horizontal="left"/>
    </xf>
    <xf numFmtId="0" fontId="10" fillId="0" borderId="25" xfId="2" applyFont="1" applyBorder="1"/>
    <xf numFmtId="0" fontId="10" fillId="0" borderId="10" xfId="2" applyFont="1" applyBorder="1"/>
    <xf numFmtId="0" fontId="10" fillId="0" borderId="8" xfId="2" applyFont="1" applyBorder="1"/>
    <xf numFmtId="0" fontId="10" fillId="0" borderId="5" xfId="2" applyFont="1" applyBorder="1"/>
    <xf numFmtId="0" fontId="10" fillId="0" borderId="25" xfId="2" applyFont="1" applyBorder="1" applyAlignment="1">
      <alignment horizontal="left"/>
    </xf>
    <xf numFmtId="9" fontId="10" fillId="0" borderId="8" xfId="2" applyNumberFormat="1" applyFont="1" applyBorder="1"/>
    <xf numFmtId="9" fontId="10" fillId="0" borderId="10" xfId="2" applyNumberFormat="1" applyFont="1" applyBorder="1"/>
    <xf numFmtId="9" fontId="10" fillId="0" borderId="5" xfId="3" applyFont="1" applyBorder="1"/>
    <xf numFmtId="165" fontId="10" fillId="7" borderId="0" xfId="2" applyNumberFormat="1" applyFont="1" applyFill="1" applyBorder="1" applyProtection="1"/>
    <xf numFmtId="165" fontId="10" fillId="7" borderId="0" xfId="2" applyNumberFormat="1" applyFont="1" applyFill="1" applyProtection="1"/>
    <xf numFmtId="165" fontId="10" fillId="7" borderId="4" xfId="2" applyNumberFormat="1" applyFont="1" applyFill="1" applyBorder="1" applyProtection="1"/>
    <xf numFmtId="1" fontId="10" fillId="0" borderId="4" xfId="0" applyNumberFormat="1" applyFont="1" applyBorder="1"/>
    <xf numFmtId="167" fontId="10" fillId="0" borderId="3" xfId="2" applyNumberFormat="1" applyFont="1" applyBorder="1" applyProtection="1"/>
    <xf numFmtId="0" fontId="10" fillId="0" borderId="4" xfId="0" applyFont="1" applyBorder="1"/>
    <xf numFmtId="165" fontId="10" fillId="0" borderId="3" xfId="2" applyNumberFormat="1" applyFont="1" applyBorder="1" applyProtection="1"/>
    <xf numFmtId="1" fontId="10" fillId="0" borderId="3" xfId="2" applyNumberFormat="1" applyFont="1" applyBorder="1"/>
    <xf numFmtId="165" fontId="10" fillId="0" borderId="3" xfId="2" applyNumberFormat="1" applyFont="1" applyBorder="1"/>
    <xf numFmtId="1" fontId="10" fillId="0" borderId="4" xfId="2" applyNumberFormat="1" applyFont="1" applyBorder="1"/>
    <xf numFmtId="167" fontId="10" fillId="0" borderId="2" xfId="2" applyNumberFormat="1" applyFont="1" applyBorder="1" applyProtection="1"/>
    <xf numFmtId="167" fontId="10" fillId="0" borderId="1" xfId="2" applyNumberFormat="1" applyFont="1" applyBorder="1" applyProtection="1"/>
    <xf numFmtId="1" fontId="10" fillId="0" borderId="0" xfId="2" applyNumberFormat="1" applyFont="1"/>
    <xf numFmtId="1" fontId="10" fillId="0" borderId="2" xfId="2" applyNumberFormat="1" applyFont="1" applyBorder="1"/>
    <xf numFmtId="1" fontId="10" fillId="0" borderId="1" xfId="2" applyNumberFormat="1" applyFont="1" applyBorder="1"/>
    <xf numFmtId="165" fontId="10" fillId="7" borderId="10" xfId="2" applyNumberFormat="1" applyFont="1" applyFill="1" applyBorder="1" applyProtection="1"/>
    <xf numFmtId="165" fontId="10" fillId="7" borderId="9" xfId="2" applyNumberFormat="1" applyFont="1" applyFill="1" applyBorder="1" applyProtection="1"/>
    <xf numFmtId="1" fontId="10" fillId="0" borderId="9" xfId="0" applyNumberFormat="1" applyFont="1" applyBorder="1"/>
    <xf numFmtId="167" fontId="10" fillId="0" borderId="10" xfId="2" applyNumberFormat="1" applyFont="1" applyBorder="1" applyProtection="1"/>
    <xf numFmtId="0" fontId="10" fillId="0" borderId="9" xfId="0" applyFont="1" applyBorder="1"/>
    <xf numFmtId="165" fontId="10" fillId="0" borderId="10" xfId="2" applyNumberFormat="1" applyFont="1" applyBorder="1" applyProtection="1"/>
    <xf numFmtId="1" fontId="10" fillId="0" borderId="10" xfId="2" applyNumberFormat="1" applyFont="1" applyBorder="1"/>
    <xf numFmtId="165" fontId="10" fillId="0" borderId="10" xfId="2" applyNumberFormat="1" applyFont="1" applyBorder="1"/>
    <xf numFmtId="1" fontId="10" fillId="0" borderId="9" xfId="2" applyNumberFormat="1" applyFont="1" applyBorder="1"/>
    <xf numFmtId="0" fontId="11" fillId="0" borderId="10" xfId="2" applyFont="1" applyBorder="1"/>
    <xf numFmtId="167" fontId="10" fillId="0" borderId="8" xfId="2" applyNumberFormat="1" applyFont="1" applyBorder="1" applyProtection="1"/>
    <xf numFmtId="167" fontId="10" fillId="0" borderId="5" xfId="2" applyNumberFormat="1" applyFont="1" applyBorder="1" applyProtection="1"/>
    <xf numFmtId="1" fontId="10" fillId="0" borderId="8" xfId="2" applyNumberFormat="1" applyFont="1" applyBorder="1"/>
    <xf numFmtId="1" fontId="10" fillId="0" borderId="5" xfId="2" applyNumberFormat="1" applyFont="1" applyBorder="1"/>
    <xf numFmtId="1" fontId="10" fillId="0" borderId="0" xfId="0" applyNumberFormat="1" applyFont="1" applyBorder="1"/>
    <xf numFmtId="167" fontId="10" fillId="0" borderId="0" xfId="2" applyNumberFormat="1" applyFont="1" applyBorder="1" applyProtection="1"/>
    <xf numFmtId="165" fontId="10" fillId="0" borderId="0" xfId="2" applyNumberFormat="1" applyFont="1" applyBorder="1" applyProtection="1"/>
    <xf numFmtId="1" fontId="10" fillId="0" borderId="0" xfId="2" applyNumberFormat="1" applyFont="1" applyBorder="1"/>
    <xf numFmtId="165" fontId="10" fillId="0" borderId="0" xfId="2" applyNumberFormat="1" applyFont="1" applyBorder="1"/>
    <xf numFmtId="0" fontId="10" fillId="5" borderId="0" xfId="2" applyFont="1" applyFill="1" applyBorder="1"/>
    <xf numFmtId="165" fontId="10" fillId="5" borderId="0" xfId="2" applyNumberFormat="1" applyFont="1" applyFill="1" applyBorder="1" applyProtection="1"/>
    <xf numFmtId="165" fontId="10" fillId="4" borderId="0" xfId="2" applyNumberFormat="1" applyFont="1" applyFill="1" applyBorder="1" applyProtection="1"/>
    <xf numFmtId="1" fontId="10" fillId="0" borderId="12" xfId="0" applyNumberFormat="1" applyFont="1" applyBorder="1"/>
    <xf numFmtId="0" fontId="10" fillId="2" borderId="12" xfId="0" applyFont="1" applyFill="1" applyBorder="1" applyAlignment="1">
      <alignment vertical="center" wrapText="1"/>
    </xf>
    <xf numFmtId="0" fontId="10" fillId="2" borderId="13" xfId="0" applyFont="1" applyFill="1" applyBorder="1" applyAlignment="1">
      <alignment vertical="center" wrapText="1"/>
    </xf>
    <xf numFmtId="0" fontId="10" fillId="4" borderId="0" xfId="2" applyFont="1" applyFill="1" applyBorder="1"/>
    <xf numFmtId="164" fontId="12" fillId="0" borderId="12" xfId="0" applyNumberFormat="1" applyFont="1" applyFill="1" applyBorder="1" applyAlignment="1" applyProtection="1">
      <alignment wrapText="1"/>
      <protection locked="0"/>
    </xf>
    <xf numFmtId="0" fontId="12" fillId="7" borderId="9" xfId="0" applyFont="1" applyFill="1" applyBorder="1"/>
    <xf numFmtId="164" fontId="12" fillId="3" borderId="16" xfId="0" applyNumberFormat="1" applyFont="1" applyFill="1" applyBorder="1" applyProtection="1">
      <protection locked="0"/>
    </xf>
    <xf numFmtId="164" fontId="12" fillId="5" borderId="0" xfId="0" applyNumberFormat="1" applyFont="1" applyFill="1" applyBorder="1" applyProtection="1">
      <protection locked="0"/>
    </xf>
    <xf numFmtId="0" fontId="12" fillId="0" borderId="16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5" borderId="0" xfId="0" applyFont="1" applyFill="1"/>
    <xf numFmtId="0" fontId="12" fillId="0" borderId="0" xfId="0" applyFont="1"/>
    <xf numFmtId="168" fontId="12" fillId="7" borderId="0" xfId="0" applyNumberFormat="1" applyFont="1" applyFill="1" applyBorder="1" applyProtection="1">
      <protection locked="0"/>
    </xf>
    <xf numFmtId="0" fontId="12" fillId="0" borderId="0" xfId="0" applyFont="1" applyBorder="1"/>
    <xf numFmtId="0" fontId="12" fillId="0" borderId="0" xfId="0" applyFont="1" applyFill="1"/>
    <xf numFmtId="171" fontId="12" fillId="7" borderId="0" xfId="0" applyNumberFormat="1" applyFont="1" applyFill="1" applyBorder="1" applyAlignment="1" applyProtection="1">
      <alignment horizontal="center"/>
      <protection locked="0"/>
    </xf>
    <xf numFmtId="171" fontId="12" fillId="7" borderId="0" xfId="0" applyNumberFormat="1" applyFont="1" applyFill="1" applyBorder="1" applyProtection="1">
      <protection locked="0"/>
    </xf>
    <xf numFmtId="0" fontId="12" fillId="2" borderId="11" xfId="2" applyFont="1" applyFill="1" applyBorder="1" applyAlignment="1">
      <alignment horizontal="left"/>
    </xf>
    <xf numFmtId="0" fontId="12" fillId="2" borderId="0" xfId="2" applyFont="1" applyFill="1" applyBorder="1"/>
    <xf numFmtId="0" fontId="12" fillId="2" borderId="2" xfId="2" applyFont="1" applyFill="1" applyBorder="1"/>
    <xf numFmtId="0" fontId="12" fillId="2" borderId="8" xfId="2" applyFont="1" applyFill="1" applyBorder="1" applyAlignment="1">
      <alignment horizontal="left"/>
    </xf>
    <xf numFmtId="0" fontId="12" fillId="2" borderId="10" xfId="2" applyFont="1" applyFill="1" applyBorder="1" applyAlignment="1">
      <alignment horizontal="left"/>
    </xf>
    <xf numFmtId="0" fontId="12" fillId="2" borderId="23" xfId="2" applyFont="1" applyFill="1" applyBorder="1" applyAlignment="1">
      <alignment horizontal="left"/>
    </xf>
    <xf numFmtId="0" fontId="12" fillId="2" borderId="10" xfId="2" applyFont="1" applyFill="1" applyBorder="1"/>
    <xf numFmtId="9" fontId="12" fillId="2" borderId="8" xfId="2" applyNumberFormat="1" applyFont="1" applyFill="1" applyBorder="1" applyAlignment="1"/>
    <xf numFmtId="0" fontId="12" fillId="2" borderId="10" xfId="2" applyFont="1" applyFill="1" applyBorder="1" applyAlignment="1"/>
    <xf numFmtId="0" fontId="12" fillId="2" borderId="16" xfId="2" applyFont="1" applyFill="1" applyBorder="1" applyAlignment="1">
      <alignment horizontal="left"/>
    </xf>
    <xf numFmtId="0" fontId="12" fillId="0" borderId="14" xfId="2" applyFont="1" applyBorder="1"/>
    <xf numFmtId="164" fontId="12" fillId="3" borderId="14" xfId="2" applyNumberFormat="1" applyFont="1" applyFill="1" applyBorder="1" applyProtection="1">
      <protection locked="0"/>
    </xf>
    <xf numFmtId="164" fontId="12" fillId="3" borderId="0" xfId="2" applyNumberFormat="1" applyFont="1" applyFill="1" applyBorder="1" applyProtection="1">
      <protection locked="0"/>
    </xf>
    <xf numFmtId="165" fontId="12" fillId="3" borderId="0" xfId="2" applyNumberFormat="1" applyFont="1" applyFill="1" applyBorder="1" applyProtection="1">
      <protection locked="0"/>
    </xf>
    <xf numFmtId="165" fontId="12" fillId="3" borderId="2" xfId="2" applyNumberFormat="1" applyFont="1" applyFill="1" applyBorder="1" applyProtection="1">
      <protection locked="0"/>
    </xf>
    <xf numFmtId="165" fontId="12" fillId="3" borderId="1" xfId="2" applyNumberFormat="1" applyFont="1" applyFill="1" applyBorder="1" applyProtection="1">
      <protection locked="0"/>
    </xf>
    <xf numFmtId="170" fontId="12" fillId="4" borderId="14" xfId="2" applyNumberFormat="1" applyFont="1" applyFill="1" applyBorder="1" applyProtection="1">
      <protection locked="0"/>
    </xf>
    <xf numFmtId="0" fontId="12" fillId="4" borderId="7" xfId="2" applyFont="1" applyFill="1" applyBorder="1" applyProtection="1">
      <protection locked="0"/>
    </xf>
    <xf numFmtId="165" fontId="12" fillId="4" borderId="0" xfId="2" applyNumberFormat="1" applyFont="1" applyFill="1" applyBorder="1" applyProtection="1">
      <protection locked="0"/>
    </xf>
    <xf numFmtId="0" fontId="12" fillId="7" borderId="9" xfId="0" applyFont="1" applyFill="1" applyBorder="1" applyProtection="1">
      <protection locked="0"/>
    </xf>
    <xf numFmtId="0" fontId="12" fillId="0" borderId="8" xfId="2" applyFont="1" applyBorder="1"/>
    <xf numFmtId="164" fontId="12" fillId="3" borderId="8" xfId="2" applyNumberFormat="1" applyFont="1" applyFill="1" applyBorder="1" applyProtection="1">
      <protection locked="0"/>
    </xf>
    <xf numFmtId="164" fontId="12" fillId="3" borderId="10" xfId="2" applyNumberFormat="1" applyFont="1" applyFill="1" applyBorder="1" applyProtection="1">
      <protection locked="0"/>
    </xf>
    <xf numFmtId="165" fontId="12" fillId="3" borderId="23" xfId="2" applyNumberFormat="1" applyFont="1" applyFill="1" applyBorder="1" applyProtection="1">
      <protection locked="0"/>
    </xf>
    <xf numFmtId="165" fontId="12" fillId="3" borderId="10" xfId="2" applyNumberFormat="1" applyFont="1" applyFill="1" applyBorder="1" applyProtection="1">
      <protection locked="0"/>
    </xf>
    <xf numFmtId="165" fontId="12" fillId="3" borderId="8" xfId="2" applyNumberFormat="1" applyFont="1" applyFill="1" applyBorder="1" applyProtection="1">
      <protection locked="0"/>
    </xf>
    <xf numFmtId="165" fontId="12" fillId="3" borderId="5" xfId="2" applyNumberFormat="1" applyFont="1" applyFill="1" applyBorder="1" applyProtection="1">
      <protection locked="0"/>
    </xf>
    <xf numFmtId="170" fontId="12" fillId="4" borderId="8" xfId="2" applyNumberFormat="1" applyFont="1" applyFill="1" applyBorder="1" applyProtection="1">
      <protection locked="0"/>
    </xf>
    <xf numFmtId="0" fontId="12" fillId="4" borderId="9" xfId="2" applyFont="1" applyFill="1" applyBorder="1" applyProtection="1">
      <protection locked="0"/>
    </xf>
    <xf numFmtId="165" fontId="12" fillId="5" borderId="9" xfId="2" applyNumberFormat="1" applyFont="1" applyFill="1" applyBorder="1" applyProtection="1"/>
    <xf numFmtId="165" fontId="12" fillId="4" borderId="10" xfId="2" applyNumberFormat="1" applyFont="1" applyFill="1" applyBorder="1" applyProtection="1">
      <protection locked="0"/>
    </xf>
    <xf numFmtId="165" fontId="12" fillId="5" borderId="16" xfId="2" applyNumberFormat="1" applyFont="1" applyFill="1" applyBorder="1" applyAlignment="1" applyProtection="1">
      <alignment vertical="center" wrapText="1"/>
    </xf>
    <xf numFmtId="0" fontId="12" fillId="0" borderId="0" xfId="2" applyFont="1" applyBorder="1"/>
    <xf numFmtId="0" fontId="12" fillId="5" borderId="12" xfId="2" applyFont="1" applyFill="1" applyBorder="1" applyAlignment="1">
      <alignment vertical="center" wrapText="1"/>
    </xf>
    <xf numFmtId="1" fontId="12" fillId="0" borderId="16" xfId="0" applyNumberFormat="1" applyFont="1" applyBorder="1"/>
    <xf numFmtId="165" fontId="12" fillId="5" borderId="7" xfId="2" applyNumberFormat="1" applyFont="1" applyFill="1" applyBorder="1" applyAlignment="1" applyProtection="1"/>
    <xf numFmtId="165" fontId="12" fillId="5" borderId="0" xfId="2" applyNumberFormat="1" applyFont="1" applyFill="1" applyBorder="1" applyProtection="1"/>
    <xf numFmtId="165" fontId="12" fillId="5" borderId="2" xfId="2" applyNumberFormat="1" applyFont="1" applyFill="1" applyBorder="1" applyAlignment="1" applyProtection="1"/>
    <xf numFmtId="172" fontId="12" fillId="3" borderId="16" xfId="5" applyNumberFormat="1" applyFont="1" applyFill="1" applyBorder="1" applyProtection="1">
      <protection locked="0"/>
    </xf>
    <xf numFmtId="168" fontId="12" fillId="3" borderId="9" xfId="4" applyNumberFormat="1" applyFont="1" applyFill="1" applyBorder="1" applyProtection="1">
      <protection locked="0"/>
    </xf>
    <xf numFmtId="9" fontId="12" fillId="3" borderId="16" xfId="4" applyNumberFormat="1" applyFont="1" applyFill="1" applyBorder="1" applyProtection="1">
      <protection locked="0"/>
    </xf>
    <xf numFmtId="168" fontId="12" fillId="0" borderId="10" xfId="4" applyNumberFormat="1" applyFont="1" applyBorder="1"/>
    <xf numFmtId="165" fontId="12" fillId="5" borderId="8" xfId="2" applyNumberFormat="1" applyFont="1" applyFill="1" applyBorder="1" applyAlignment="1" applyProtection="1"/>
    <xf numFmtId="168" fontId="12" fillId="5" borderId="9" xfId="4" applyNumberFormat="1" applyFont="1" applyFill="1" applyBorder="1" applyProtection="1"/>
    <xf numFmtId="0" fontId="12" fillId="2" borderId="11" xfId="2" applyFont="1" applyFill="1" applyBorder="1" applyAlignment="1">
      <alignment vertical="center" wrapText="1"/>
    </xf>
    <xf numFmtId="0" fontId="12" fillId="2" borderId="12" xfId="2" applyFont="1" applyFill="1" applyBorder="1" applyAlignment="1">
      <alignment vertical="center" wrapText="1"/>
    </xf>
    <xf numFmtId="0" fontId="12" fillId="2" borderId="13" xfId="2" applyFont="1" applyFill="1" applyBorder="1" applyAlignment="1">
      <alignment vertical="center" wrapText="1"/>
    </xf>
    <xf numFmtId="0" fontId="12" fillId="2" borderId="8" xfId="2" applyFont="1" applyFill="1" applyBorder="1" applyAlignment="1">
      <alignment vertical="center" wrapText="1"/>
    </xf>
    <xf numFmtId="0" fontId="12" fillId="2" borderId="10" xfId="2" applyFont="1" applyFill="1" applyBorder="1" applyAlignment="1">
      <alignment vertical="center" wrapText="1"/>
    </xf>
    <xf numFmtId="0" fontId="12" fillId="2" borderId="5" xfId="2" applyFont="1" applyFill="1" applyBorder="1" applyAlignment="1">
      <alignment vertical="center" wrapText="1"/>
    </xf>
    <xf numFmtId="165" fontId="12" fillId="5" borderId="12" xfId="2" applyNumberFormat="1" applyFont="1" applyFill="1" applyBorder="1" applyProtection="1"/>
    <xf numFmtId="165" fontId="12" fillId="5" borderId="13" xfId="2" applyNumberFormat="1" applyFont="1" applyFill="1" applyBorder="1" applyProtection="1"/>
    <xf numFmtId="165" fontId="12" fillId="5" borderId="16" xfId="2" applyNumberFormat="1" applyFont="1" applyFill="1" applyBorder="1" applyProtection="1"/>
    <xf numFmtId="164" fontId="12" fillId="0" borderId="8" xfId="0" applyNumberFormat="1" applyFont="1" applyBorder="1"/>
    <xf numFmtId="164" fontId="12" fillId="0" borderId="10" xfId="0" applyNumberFormat="1" applyFont="1" applyBorder="1"/>
    <xf numFmtId="164" fontId="12" fillId="0" borderId="16" xfId="0" applyNumberFormat="1" applyFont="1" applyBorder="1"/>
    <xf numFmtId="167" fontId="12" fillId="3" borderId="14" xfId="2" applyNumberFormat="1" applyFont="1" applyFill="1" applyBorder="1" applyProtection="1">
      <protection locked="0"/>
    </xf>
    <xf numFmtId="167" fontId="12" fillId="3" borderId="0" xfId="2" applyNumberFormat="1" applyFont="1" applyFill="1" applyBorder="1" applyProtection="1">
      <protection locked="0"/>
    </xf>
    <xf numFmtId="167" fontId="12" fillId="5" borderId="18" xfId="2" applyNumberFormat="1" applyFont="1" applyFill="1" applyBorder="1" applyProtection="1"/>
    <xf numFmtId="167" fontId="12" fillId="3" borderId="18" xfId="2" applyNumberFormat="1" applyFont="1" applyFill="1" applyBorder="1" applyProtection="1">
      <protection locked="0"/>
    </xf>
    <xf numFmtId="167" fontId="12" fillId="5" borderId="7" xfId="2" applyNumberFormat="1" applyFont="1" applyFill="1" applyBorder="1" applyProtection="1"/>
    <xf numFmtId="167" fontId="12" fillId="5" borderId="14" xfId="2" applyNumberFormat="1" applyFont="1" applyFill="1" applyBorder="1" applyProtection="1"/>
    <xf numFmtId="167" fontId="12" fillId="5" borderId="0" xfId="2" applyNumberFormat="1" applyFont="1" applyFill="1" applyBorder="1" applyProtection="1"/>
    <xf numFmtId="167" fontId="12" fillId="5" borderId="11" xfId="2" applyNumberFormat="1" applyFont="1" applyFill="1" applyBorder="1" applyProtection="1"/>
    <xf numFmtId="167" fontId="12" fillId="5" borderId="12" xfId="2" applyNumberFormat="1" applyFont="1" applyFill="1" applyBorder="1" applyProtection="1"/>
    <xf numFmtId="167" fontId="12" fillId="5" borderId="13" xfId="2" applyNumberFormat="1" applyFont="1" applyFill="1" applyBorder="1" applyProtection="1"/>
    <xf numFmtId="167" fontId="12" fillId="5" borderId="16" xfId="2" applyNumberFormat="1" applyFont="1" applyFill="1" applyBorder="1" applyProtection="1"/>
    <xf numFmtId="165" fontId="12" fillId="0" borderId="0" xfId="2" applyNumberFormat="1" applyFont="1" applyBorder="1" applyAlignment="1">
      <alignment horizontal="right"/>
    </xf>
    <xf numFmtId="165" fontId="12" fillId="5" borderId="3" xfId="2" applyNumberFormat="1" applyFont="1" applyFill="1" applyBorder="1" applyAlignment="1" applyProtection="1">
      <alignment horizontal="center"/>
    </xf>
    <xf numFmtId="165" fontId="12" fillId="5" borderId="1" xfId="2" applyNumberFormat="1" applyFont="1" applyFill="1" applyBorder="1" applyAlignment="1" applyProtection="1">
      <alignment horizontal="center"/>
    </xf>
    <xf numFmtId="168" fontId="12" fillId="0" borderId="0" xfId="4" applyNumberFormat="1" applyFont="1" applyBorder="1" applyAlignment="1" applyProtection="1">
      <alignment horizontal="center"/>
    </xf>
    <xf numFmtId="167" fontId="12" fillId="0" borderId="11" xfId="0" applyNumberFormat="1" applyFont="1" applyBorder="1"/>
    <xf numFmtId="167" fontId="12" fillId="0" borderId="12" xfId="0" applyNumberFormat="1" applyFont="1" applyBorder="1"/>
    <xf numFmtId="167" fontId="12" fillId="0" borderId="13" xfId="0" applyNumberFormat="1" applyFont="1" applyBorder="1"/>
    <xf numFmtId="165" fontId="12" fillId="0" borderId="12" xfId="2" applyNumberFormat="1" applyFont="1" applyBorder="1" applyAlignment="1">
      <alignment horizontal="right"/>
    </xf>
    <xf numFmtId="165" fontId="12" fillId="0" borderId="13" xfId="2" applyNumberFormat="1" applyFont="1" applyBorder="1" applyAlignment="1">
      <alignment horizontal="right"/>
    </xf>
    <xf numFmtId="165" fontId="12" fillId="5" borderId="3" xfId="2" applyNumberFormat="1" applyFont="1" applyFill="1" applyBorder="1" applyProtection="1"/>
    <xf numFmtId="165" fontId="12" fillId="5" borderId="1" xfId="2" applyNumberFormat="1" applyFont="1" applyFill="1" applyBorder="1" applyProtection="1"/>
    <xf numFmtId="9" fontId="12" fillId="5" borderId="3" xfId="4" applyFont="1" applyFill="1" applyBorder="1" applyProtection="1"/>
    <xf numFmtId="9" fontId="12" fillId="5" borderId="4" xfId="4" applyFont="1" applyFill="1" applyBorder="1" applyProtection="1"/>
    <xf numFmtId="0" fontId="12" fillId="5" borderId="8" xfId="2" applyFont="1" applyFill="1" applyBorder="1"/>
    <xf numFmtId="164" fontId="12" fillId="5" borderId="10" xfId="2" applyNumberFormat="1" applyFont="1" applyFill="1" applyBorder="1" applyProtection="1"/>
    <xf numFmtId="164" fontId="12" fillId="5" borderId="5" xfId="2" applyNumberFormat="1" applyFont="1" applyFill="1" applyBorder="1" applyProtection="1"/>
    <xf numFmtId="165" fontId="12" fillId="5" borderId="18" xfId="2" applyNumberFormat="1" applyFont="1" applyFill="1" applyBorder="1" applyProtection="1"/>
    <xf numFmtId="9" fontId="12" fillId="5" borderId="0" xfId="4" applyFont="1" applyFill="1" applyBorder="1" applyProtection="1"/>
    <xf numFmtId="9" fontId="12" fillId="5" borderId="12" xfId="4" applyFont="1" applyFill="1" applyBorder="1" applyProtection="1"/>
    <xf numFmtId="9" fontId="12" fillId="5" borderId="16" xfId="4" applyFont="1" applyFill="1" applyBorder="1" applyProtection="1"/>
    <xf numFmtId="0" fontId="12" fillId="0" borderId="11" xfId="0" applyFont="1" applyBorder="1" applyAlignment="1">
      <alignment wrapText="1"/>
    </xf>
    <xf numFmtId="0" fontId="12" fillId="0" borderId="12" xfId="0" applyFont="1" applyBorder="1" applyAlignment="1">
      <alignment wrapText="1"/>
    </xf>
    <xf numFmtId="0" fontId="12" fillId="0" borderId="13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12" fillId="0" borderId="10" xfId="0" applyFont="1" applyBorder="1" applyAlignment="1">
      <alignment wrapText="1"/>
    </xf>
    <xf numFmtId="1" fontId="12" fillId="0" borderId="0" xfId="0" applyNumberFormat="1" applyFont="1" applyBorder="1"/>
    <xf numFmtId="1" fontId="12" fillId="0" borderId="7" xfId="0" applyNumberFormat="1" applyFont="1" applyBorder="1"/>
    <xf numFmtId="164" fontId="12" fillId="3" borderId="11" xfId="2" applyNumberFormat="1" applyFont="1" applyFill="1" applyBorder="1" applyProtection="1">
      <protection locked="0"/>
    </xf>
    <xf numFmtId="164" fontId="12" fillId="3" borderId="13" xfId="2" applyNumberFormat="1" applyFont="1" applyFill="1" applyBorder="1" applyProtection="1">
      <protection locked="0"/>
    </xf>
    <xf numFmtId="164" fontId="12" fillId="5" borderId="0" xfId="2" applyNumberFormat="1" applyFont="1" applyFill="1" applyBorder="1" applyProtection="1">
      <protection locked="0"/>
    </xf>
    <xf numFmtId="167" fontId="12" fillId="3" borderId="4" xfId="2" applyNumberFormat="1" applyFont="1" applyFill="1" applyBorder="1" applyProtection="1">
      <protection locked="0"/>
    </xf>
    <xf numFmtId="0" fontId="12" fillId="7" borderId="5" xfId="0" applyFont="1" applyFill="1" applyBorder="1" applyProtection="1">
      <protection locked="0"/>
    </xf>
    <xf numFmtId="1" fontId="12" fillId="0" borderId="4" xfId="0" applyNumberFormat="1" applyFont="1" applyBorder="1"/>
    <xf numFmtId="167" fontId="12" fillId="0" borderId="4" xfId="0" applyNumberFormat="1" applyFont="1" applyBorder="1"/>
    <xf numFmtId="0" fontId="12" fillId="0" borderId="11" xfId="0" applyFont="1" applyBorder="1"/>
    <xf numFmtId="165" fontId="12" fillId="0" borderId="12" xfId="0" applyNumberFormat="1" applyFont="1" applyBorder="1"/>
    <xf numFmtId="0" fontId="12" fillId="0" borderId="11" xfId="0" applyFont="1" applyBorder="1" applyAlignment="1"/>
    <xf numFmtId="0" fontId="12" fillId="0" borderId="12" xfId="0" applyFont="1" applyBorder="1" applyAlignment="1"/>
    <xf numFmtId="0" fontId="12" fillId="0" borderId="13" xfId="0" applyFont="1" applyBorder="1" applyAlignment="1"/>
    <xf numFmtId="167" fontId="12" fillId="0" borderId="16" xfId="0" applyNumberFormat="1" applyFont="1" applyBorder="1"/>
    <xf numFmtId="167" fontId="12" fillId="3" borderId="16" xfId="2" applyNumberFormat="1" applyFont="1" applyFill="1" applyBorder="1" applyProtection="1">
      <protection locked="0"/>
    </xf>
    <xf numFmtId="172" fontId="12" fillId="0" borderId="7" xfId="0" applyNumberFormat="1" applyFont="1" applyBorder="1"/>
    <xf numFmtId="172" fontId="12" fillId="0" borderId="0" xfId="0" applyNumberFormat="1" applyFont="1"/>
    <xf numFmtId="167" fontId="12" fillId="3" borderId="9" xfId="2" applyNumberFormat="1" applyFont="1" applyFill="1" applyBorder="1" applyProtection="1">
      <protection locked="0"/>
    </xf>
    <xf numFmtId="1" fontId="12" fillId="0" borderId="9" xfId="0" applyNumberFormat="1" applyFont="1" applyBorder="1"/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0" fillId="7" borderId="9" xfId="0" applyFont="1" applyFill="1" applyBorder="1"/>
    <xf numFmtId="164" fontId="10" fillId="3" borderId="16" xfId="0" applyNumberFormat="1" applyFont="1" applyFill="1" applyBorder="1" applyProtection="1">
      <protection locked="0"/>
    </xf>
    <xf numFmtId="164" fontId="10" fillId="5" borderId="0" xfId="0" applyNumberFormat="1" applyFont="1" applyFill="1" applyBorder="1" applyProtection="1">
      <protection locked="0"/>
    </xf>
    <xf numFmtId="0" fontId="10" fillId="0" borderId="16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5" borderId="0" xfId="0" applyFont="1" applyFill="1"/>
    <xf numFmtId="10" fontId="10" fillId="0" borderId="0" xfId="0" applyNumberFormat="1" applyFont="1"/>
    <xf numFmtId="0" fontId="15" fillId="2" borderId="3" xfId="2" applyFont="1" applyFill="1" applyBorder="1" applyAlignment="1">
      <alignment horizontal="left"/>
    </xf>
    <xf numFmtId="0" fontId="10" fillId="2" borderId="0" xfId="2" applyFont="1" applyFill="1" applyBorder="1"/>
    <xf numFmtId="0" fontId="10" fillId="2" borderId="2" xfId="2" applyFont="1" applyFill="1" applyBorder="1"/>
    <xf numFmtId="0" fontId="10" fillId="2" borderId="8" xfId="2" applyFont="1" applyFill="1" applyBorder="1" applyAlignment="1">
      <alignment horizontal="left"/>
    </xf>
    <xf numFmtId="0" fontId="10" fillId="0" borderId="14" xfId="2" applyFont="1" applyBorder="1"/>
    <xf numFmtId="164" fontId="10" fillId="3" borderId="0" xfId="2" applyNumberFormat="1" applyFont="1" applyFill="1" applyBorder="1" applyProtection="1">
      <protection locked="0"/>
    </xf>
    <xf numFmtId="165" fontId="10" fillId="3" borderId="15" xfId="2" applyNumberFormat="1" applyFont="1" applyFill="1" applyBorder="1" applyProtection="1">
      <protection locked="0"/>
    </xf>
    <xf numFmtId="165" fontId="10" fillId="3" borderId="0" xfId="2" applyNumberFormat="1" applyFont="1" applyFill="1" applyBorder="1" applyProtection="1">
      <protection locked="0"/>
    </xf>
    <xf numFmtId="165" fontId="10" fillId="3" borderId="2" xfId="2" applyNumberFormat="1" applyFont="1" applyFill="1" applyBorder="1" applyProtection="1">
      <protection locked="0"/>
    </xf>
    <xf numFmtId="165" fontId="10" fillId="3" borderId="1" xfId="2" applyNumberFormat="1" applyFont="1" applyFill="1" applyBorder="1" applyProtection="1">
      <protection locked="0"/>
    </xf>
    <xf numFmtId="170" fontId="10" fillId="4" borderId="14" xfId="2" applyNumberFormat="1" applyFont="1" applyFill="1" applyBorder="1" applyProtection="1">
      <protection locked="0"/>
    </xf>
    <xf numFmtId="0" fontId="10" fillId="4" borderId="7" xfId="2" applyFont="1" applyFill="1" applyBorder="1" applyProtection="1">
      <protection locked="0"/>
    </xf>
    <xf numFmtId="165" fontId="10" fillId="5" borderId="4" xfId="2" applyNumberFormat="1" applyFont="1" applyFill="1" applyBorder="1" applyProtection="1"/>
    <xf numFmtId="165" fontId="10" fillId="4" borderId="0" xfId="2" applyNumberFormat="1" applyFont="1" applyFill="1" applyBorder="1" applyProtection="1">
      <protection locked="0"/>
    </xf>
    <xf numFmtId="165" fontId="10" fillId="4" borderId="4" xfId="2" applyNumberFormat="1" applyFont="1" applyFill="1" applyBorder="1" applyProtection="1">
      <protection locked="0"/>
    </xf>
    <xf numFmtId="164" fontId="10" fillId="3" borderId="10" xfId="2" applyNumberFormat="1" applyFont="1" applyFill="1" applyBorder="1" applyProtection="1">
      <protection locked="0"/>
    </xf>
    <xf numFmtId="164" fontId="10" fillId="3" borderId="8" xfId="2" applyNumberFormat="1" applyFont="1" applyFill="1" applyBorder="1" applyProtection="1">
      <protection locked="0"/>
    </xf>
    <xf numFmtId="165" fontId="10" fillId="3" borderId="23" xfId="2" applyNumberFormat="1" applyFont="1" applyFill="1" applyBorder="1" applyProtection="1">
      <protection locked="0"/>
    </xf>
    <xf numFmtId="165" fontId="10" fillId="3" borderId="10" xfId="2" applyNumberFormat="1" applyFont="1" applyFill="1" applyBorder="1" applyProtection="1">
      <protection locked="0"/>
    </xf>
    <xf numFmtId="165" fontId="10" fillId="3" borderId="8" xfId="2" applyNumberFormat="1" applyFont="1" applyFill="1" applyBorder="1" applyProtection="1">
      <protection locked="0"/>
    </xf>
    <xf numFmtId="165" fontId="10" fillId="3" borderId="5" xfId="2" applyNumberFormat="1" applyFont="1" applyFill="1" applyBorder="1" applyProtection="1">
      <protection locked="0"/>
    </xf>
    <xf numFmtId="170" fontId="10" fillId="4" borderId="8" xfId="2" applyNumberFormat="1" applyFont="1" applyFill="1" applyBorder="1" applyProtection="1">
      <protection locked="0"/>
    </xf>
    <xf numFmtId="165" fontId="10" fillId="5" borderId="9" xfId="2" applyNumberFormat="1" applyFont="1" applyFill="1" applyBorder="1" applyProtection="1"/>
    <xf numFmtId="165" fontId="10" fillId="4" borderId="10" xfId="2" applyNumberFormat="1" applyFont="1" applyFill="1" applyBorder="1" applyProtection="1">
      <protection locked="0"/>
    </xf>
    <xf numFmtId="165" fontId="10" fillId="4" borderId="9" xfId="2" applyNumberFormat="1" applyFont="1" applyFill="1" applyBorder="1" applyProtection="1">
      <protection locked="0"/>
    </xf>
    <xf numFmtId="0" fontId="10" fillId="0" borderId="0" xfId="0" applyFont="1" applyBorder="1" applyAlignment="1">
      <alignment wrapText="1"/>
    </xf>
    <xf numFmtId="165" fontId="10" fillId="5" borderId="16" xfId="2" applyNumberFormat="1" applyFont="1" applyFill="1" applyBorder="1" applyAlignment="1" applyProtection="1">
      <alignment vertical="center" wrapText="1"/>
    </xf>
    <xf numFmtId="0" fontId="10" fillId="5" borderId="12" xfId="2" applyFont="1" applyFill="1" applyBorder="1" applyAlignment="1">
      <alignment vertical="center" wrapText="1"/>
    </xf>
    <xf numFmtId="1" fontId="10" fillId="0" borderId="16" xfId="0" applyNumberFormat="1" applyFont="1" applyBorder="1"/>
    <xf numFmtId="168" fontId="10" fillId="3" borderId="4" xfId="4" applyNumberFormat="1" applyFont="1" applyFill="1" applyBorder="1" applyProtection="1">
      <protection locked="0"/>
    </xf>
    <xf numFmtId="165" fontId="10" fillId="5" borderId="7" xfId="2" applyNumberFormat="1" applyFont="1" applyFill="1" applyBorder="1" applyAlignment="1" applyProtection="1"/>
    <xf numFmtId="165" fontId="10" fillId="5" borderId="2" xfId="2" applyNumberFormat="1" applyFont="1" applyFill="1" applyBorder="1" applyAlignment="1" applyProtection="1"/>
    <xf numFmtId="172" fontId="10" fillId="3" borderId="16" xfId="5" applyNumberFormat="1" applyFont="1" applyFill="1" applyBorder="1" applyProtection="1">
      <protection locked="0"/>
    </xf>
    <xf numFmtId="168" fontId="10" fillId="3" borderId="9" xfId="4" applyNumberFormat="1" applyFont="1" applyFill="1" applyBorder="1" applyProtection="1">
      <protection locked="0"/>
    </xf>
    <xf numFmtId="9" fontId="10" fillId="3" borderId="16" xfId="4" applyNumberFormat="1" applyFont="1" applyFill="1" applyBorder="1" applyProtection="1">
      <protection locked="0"/>
    </xf>
    <xf numFmtId="168" fontId="10" fillId="0" borderId="10" xfId="4" applyNumberFormat="1" applyFont="1" applyBorder="1"/>
    <xf numFmtId="165" fontId="10" fillId="5" borderId="8" xfId="2" applyNumberFormat="1" applyFont="1" applyFill="1" applyBorder="1" applyAlignment="1" applyProtection="1"/>
    <xf numFmtId="168" fontId="10" fillId="5" borderId="9" xfId="4" applyNumberFormat="1" applyFont="1" applyFill="1" applyBorder="1" applyProtection="1"/>
    <xf numFmtId="0" fontId="10" fillId="2" borderId="12" xfId="2" applyFont="1" applyFill="1" applyBorder="1" applyAlignment="1">
      <alignment vertical="center" wrapText="1"/>
    </xf>
    <xf numFmtId="0" fontId="10" fillId="2" borderId="13" xfId="2" applyFont="1" applyFill="1" applyBorder="1" applyAlignment="1">
      <alignment vertical="center" wrapText="1"/>
    </xf>
    <xf numFmtId="0" fontId="10" fillId="2" borderId="8" xfId="2" applyFont="1" applyFill="1" applyBorder="1" applyAlignment="1">
      <alignment vertical="center" wrapText="1"/>
    </xf>
    <xf numFmtId="0" fontId="10" fillId="2" borderId="10" xfId="2" applyFont="1" applyFill="1" applyBorder="1" applyAlignment="1">
      <alignment vertical="center" wrapText="1"/>
    </xf>
    <xf numFmtId="0" fontId="10" fillId="2" borderId="5" xfId="2" applyFont="1" applyFill="1" applyBorder="1" applyAlignment="1">
      <alignment vertical="center" wrapText="1"/>
    </xf>
    <xf numFmtId="165" fontId="10" fillId="5" borderId="12" xfId="2" applyNumberFormat="1" applyFont="1" applyFill="1" applyBorder="1" applyProtection="1"/>
    <xf numFmtId="165" fontId="10" fillId="5" borderId="13" xfId="2" applyNumberFormat="1" applyFont="1" applyFill="1" applyBorder="1" applyProtection="1"/>
    <xf numFmtId="165" fontId="10" fillId="5" borderId="16" xfId="2" applyNumberFormat="1" applyFont="1" applyFill="1" applyBorder="1" applyProtection="1"/>
    <xf numFmtId="164" fontId="10" fillId="0" borderId="8" xfId="0" applyNumberFormat="1" applyFont="1" applyBorder="1"/>
    <xf numFmtId="164" fontId="10" fillId="0" borderId="10" xfId="0" applyNumberFormat="1" applyFont="1" applyBorder="1"/>
    <xf numFmtId="164" fontId="10" fillId="0" borderId="16" xfId="0" applyNumberFormat="1" applyFont="1" applyBorder="1"/>
    <xf numFmtId="167" fontId="10" fillId="3" borderId="14" xfId="2" applyNumberFormat="1" applyFont="1" applyFill="1" applyBorder="1" applyProtection="1">
      <protection locked="0"/>
    </xf>
    <xf numFmtId="167" fontId="10" fillId="3" borderId="0" xfId="2" applyNumberFormat="1" applyFont="1" applyFill="1" applyBorder="1" applyProtection="1">
      <protection locked="0"/>
    </xf>
    <xf numFmtId="167" fontId="10" fillId="5" borderId="18" xfId="2" applyNumberFormat="1" applyFont="1" applyFill="1" applyBorder="1" applyProtection="1"/>
    <xf numFmtId="167" fontId="10" fillId="3" borderId="18" xfId="2" applyNumberFormat="1" applyFont="1" applyFill="1" applyBorder="1" applyProtection="1">
      <protection locked="0"/>
    </xf>
    <xf numFmtId="167" fontId="10" fillId="5" borderId="7" xfId="2" applyNumberFormat="1" applyFont="1" applyFill="1" applyBorder="1" applyProtection="1"/>
    <xf numFmtId="167" fontId="10" fillId="5" borderId="14" xfId="2" applyNumberFormat="1" applyFont="1" applyFill="1" applyBorder="1" applyProtection="1"/>
    <xf numFmtId="167" fontId="10" fillId="5" borderId="0" xfId="2" applyNumberFormat="1" applyFont="1" applyFill="1" applyBorder="1" applyProtection="1"/>
    <xf numFmtId="167" fontId="10" fillId="5" borderId="11" xfId="2" applyNumberFormat="1" applyFont="1" applyFill="1" applyBorder="1" applyProtection="1"/>
    <xf numFmtId="167" fontId="10" fillId="5" borderId="12" xfId="2" applyNumberFormat="1" applyFont="1" applyFill="1" applyBorder="1" applyProtection="1"/>
    <xf numFmtId="167" fontId="10" fillId="5" borderId="13" xfId="2" applyNumberFormat="1" applyFont="1" applyFill="1" applyBorder="1" applyProtection="1"/>
    <xf numFmtId="167" fontId="10" fillId="5" borderId="16" xfId="2" applyNumberFormat="1" applyFont="1" applyFill="1" applyBorder="1" applyProtection="1"/>
    <xf numFmtId="165" fontId="10" fillId="0" borderId="0" xfId="2" applyNumberFormat="1" applyFont="1" applyBorder="1" applyAlignment="1">
      <alignment horizontal="right"/>
    </xf>
    <xf numFmtId="165" fontId="10" fillId="5" borderId="3" xfId="2" applyNumberFormat="1" applyFont="1" applyFill="1" applyBorder="1" applyAlignment="1" applyProtection="1">
      <alignment horizontal="center"/>
    </xf>
    <xf numFmtId="165" fontId="10" fillId="5" borderId="1" xfId="2" applyNumberFormat="1" applyFont="1" applyFill="1" applyBorder="1" applyAlignment="1" applyProtection="1">
      <alignment horizontal="center"/>
    </xf>
    <xf numFmtId="168" fontId="10" fillId="0" borderId="0" xfId="4" applyNumberFormat="1" applyFont="1" applyBorder="1" applyAlignment="1" applyProtection="1">
      <alignment horizontal="center"/>
    </xf>
    <xf numFmtId="167" fontId="10" fillId="0" borderId="11" xfId="0" applyNumberFormat="1" applyFont="1" applyBorder="1"/>
    <xf numFmtId="167" fontId="10" fillId="0" borderId="12" xfId="0" applyNumberFormat="1" applyFont="1" applyBorder="1"/>
    <xf numFmtId="167" fontId="10" fillId="0" borderId="13" xfId="0" applyNumberFormat="1" applyFont="1" applyBorder="1"/>
    <xf numFmtId="165" fontId="10" fillId="0" borderId="12" xfId="2" applyNumberFormat="1" applyFont="1" applyBorder="1" applyAlignment="1">
      <alignment horizontal="right"/>
    </xf>
    <xf numFmtId="165" fontId="10" fillId="0" borderId="13" xfId="2" applyNumberFormat="1" applyFont="1" applyBorder="1" applyAlignment="1">
      <alignment horizontal="right"/>
    </xf>
    <xf numFmtId="165" fontId="10" fillId="5" borderId="3" xfId="2" applyNumberFormat="1" applyFont="1" applyFill="1" applyBorder="1" applyProtection="1"/>
    <xf numFmtId="165" fontId="10" fillId="5" borderId="1" xfId="2" applyNumberFormat="1" applyFont="1" applyFill="1" applyBorder="1" applyProtection="1"/>
    <xf numFmtId="9" fontId="10" fillId="5" borderId="3" xfId="4" applyFont="1" applyFill="1" applyBorder="1" applyProtection="1"/>
    <xf numFmtId="9" fontId="10" fillId="5" borderId="4" xfId="4" applyFont="1" applyFill="1" applyBorder="1" applyProtection="1"/>
    <xf numFmtId="0" fontId="11" fillId="5" borderId="8" xfId="2" applyFont="1" applyFill="1" applyBorder="1"/>
    <xf numFmtId="164" fontId="10" fillId="5" borderId="10" xfId="2" applyNumberFormat="1" applyFont="1" applyFill="1" applyBorder="1" applyProtection="1"/>
    <xf numFmtId="164" fontId="10" fillId="5" borderId="5" xfId="2" applyNumberFormat="1" applyFont="1" applyFill="1" applyBorder="1" applyProtection="1"/>
    <xf numFmtId="165" fontId="10" fillId="5" borderId="18" xfId="2" applyNumberFormat="1" applyFont="1" applyFill="1" applyBorder="1" applyProtection="1"/>
    <xf numFmtId="9" fontId="10" fillId="5" borderId="0" xfId="4" applyFont="1" applyFill="1" applyBorder="1" applyProtection="1"/>
    <xf numFmtId="9" fontId="10" fillId="5" borderId="12" xfId="4" applyFont="1" applyFill="1" applyBorder="1" applyProtection="1"/>
    <xf numFmtId="9" fontId="10" fillId="5" borderId="16" xfId="4" applyFont="1" applyFill="1" applyBorder="1" applyProtection="1"/>
    <xf numFmtId="0" fontId="10" fillId="0" borderId="11" xfId="0" applyFont="1" applyBorder="1" applyAlignment="1">
      <alignment wrapText="1"/>
    </xf>
    <xf numFmtId="0" fontId="10" fillId="0" borderId="12" xfId="0" applyFont="1" applyBorder="1" applyAlignment="1">
      <alignment wrapText="1"/>
    </xf>
    <xf numFmtId="0" fontId="10" fillId="0" borderId="13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" fontId="10" fillId="0" borderId="7" xfId="0" applyNumberFormat="1" applyFont="1" applyBorder="1"/>
    <xf numFmtId="164" fontId="10" fillId="3" borderId="11" xfId="2" applyNumberFormat="1" applyFont="1" applyFill="1" applyBorder="1" applyProtection="1">
      <protection locked="0"/>
    </xf>
    <xf numFmtId="164" fontId="10" fillId="3" borderId="13" xfId="2" applyNumberFormat="1" applyFont="1" applyFill="1" applyBorder="1" applyProtection="1">
      <protection locked="0"/>
    </xf>
    <xf numFmtId="164" fontId="10" fillId="5" borderId="0" xfId="2" applyNumberFormat="1" applyFont="1" applyFill="1" applyBorder="1" applyProtection="1">
      <protection locked="0"/>
    </xf>
    <xf numFmtId="167" fontId="10" fillId="3" borderId="4" xfId="2" applyNumberFormat="1" applyFont="1" applyFill="1" applyBorder="1" applyProtection="1">
      <protection locked="0"/>
    </xf>
    <xf numFmtId="165" fontId="10" fillId="4" borderId="1" xfId="2" applyNumberFormat="1" applyFont="1" applyFill="1" applyBorder="1" applyProtection="1">
      <protection locked="0"/>
    </xf>
    <xf numFmtId="0" fontId="10" fillId="0" borderId="7" xfId="0" applyFont="1" applyBorder="1"/>
    <xf numFmtId="167" fontId="10" fillId="0" borderId="4" xfId="0" applyNumberFormat="1" applyFont="1" applyBorder="1"/>
    <xf numFmtId="0" fontId="10" fillId="0" borderId="11" xfId="0" applyFont="1" applyBorder="1"/>
    <xf numFmtId="165" fontId="10" fillId="0" borderId="12" xfId="0" applyNumberFormat="1" applyFont="1" applyBorder="1"/>
    <xf numFmtId="167" fontId="10" fillId="0" borderId="16" xfId="0" applyNumberFormat="1" applyFont="1" applyBorder="1"/>
    <xf numFmtId="167" fontId="10" fillId="3" borderId="16" xfId="2" applyNumberFormat="1" applyFont="1" applyFill="1" applyBorder="1" applyProtection="1">
      <protection locked="0"/>
    </xf>
    <xf numFmtId="172" fontId="10" fillId="0" borderId="7" xfId="0" applyNumberFormat="1" applyFont="1" applyBorder="1"/>
    <xf numFmtId="172" fontId="10" fillId="0" borderId="0" xfId="0" applyNumberFormat="1" applyFont="1"/>
    <xf numFmtId="167" fontId="10" fillId="3" borderId="9" xfId="2" applyNumberFormat="1" applyFont="1" applyFill="1" applyBorder="1" applyProtection="1">
      <protection locked="0"/>
    </xf>
    <xf numFmtId="0" fontId="10" fillId="0" borderId="16" xfId="0" applyFont="1" applyBorder="1"/>
    <xf numFmtId="0" fontId="10" fillId="0" borderId="16" xfId="0" applyFont="1" applyBorder="1" applyAlignment="1">
      <alignment wrapText="1"/>
    </xf>
    <xf numFmtId="0" fontId="10" fillId="0" borderId="12" xfId="0" applyFont="1" applyBorder="1" applyAlignment="1">
      <alignment vertical="center" wrapText="1"/>
    </xf>
    <xf numFmtId="0" fontId="16" fillId="0" borderId="12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0" xfId="0" applyFont="1" applyAlignment="1">
      <alignment wrapText="1"/>
    </xf>
    <xf numFmtId="169" fontId="10" fillId="0" borderId="0" xfId="0" applyNumberFormat="1" applyFont="1" applyBorder="1"/>
    <xf numFmtId="169" fontId="16" fillId="0" borderId="0" xfId="0" applyNumberFormat="1" applyFont="1" applyBorder="1"/>
    <xf numFmtId="169" fontId="10" fillId="0" borderId="4" xfId="0" applyNumberFormat="1" applyFont="1" applyBorder="1"/>
    <xf numFmtId="169" fontId="10" fillId="0" borderId="7" xfId="0" applyNumberFormat="1" applyFont="1" applyBorder="1"/>
    <xf numFmtId="169" fontId="10" fillId="0" borderId="0" xfId="0" applyNumberFormat="1" applyFont="1"/>
    <xf numFmtId="169" fontId="10" fillId="0" borderId="10" xfId="0" applyNumberFormat="1" applyFont="1" applyBorder="1"/>
    <xf numFmtId="169" fontId="16" fillId="0" borderId="10" xfId="0" applyNumberFormat="1" applyFont="1" applyBorder="1"/>
    <xf numFmtId="169" fontId="10" fillId="0" borderId="9" xfId="0" applyNumberFormat="1" applyFont="1" applyBorder="1"/>
    <xf numFmtId="0" fontId="16" fillId="0" borderId="13" xfId="0" applyFont="1" applyBorder="1" applyAlignment="1">
      <alignment vertical="center" wrapText="1"/>
    </xf>
    <xf numFmtId="168" fontId="10" fillId="0" borderId="0" xfId="4" applyNumberFormat="1" applyFont="1" applyBorder="1"/>
    <xf numFmtId="168" fontId="10" fillId="0" borderId="18" xfId="4" applyNumberFormat="1" applyFont="1" applyBorder="1"/>
    <xf numFmtId="168" fontId="10" fillId="0" borderId="5" xfId="4" applyNumberFormat="1" applyFont="1" applyBorder="1"/>
    <xf numFmtId="9" fontId="10" fillId="0" borderId="0" xfId="4" applyFont="1" applyBorder="1"/>
    <xf numFmtId="9" fontId="16" fillId="0" borderId="0" xfId="4" applyFont="1" applyBorder="1"/>
    <xf numFmtId="9" fontId="10" fillId="0" borderId="4" xfId="4" applyFont="1" applyBorder="1"/>
    <xf numFmtId="9" fontId="10" fillId="0" borderId="7" xfId="4" applyFont="1" applyBorder="1"/>
    <xf numFmtId="9" fontId="10" fillId="0" borderId="10" xfId="4" applyFont="1" applyBorder="1"/>
    <xf numFmtId="9" fontId="16" fillId="0" borderId="10" xfId="4" applyFont="1" applyBorder="1"/>
    <xf numFmtId="9" fontId="10" fillId="0" borderId="9" xfId="4" applyFont="1" applyBorder="1"/>
    <xf numFmtId="1" fontId="10" fillId="0" borderId="10" xfId="0" applyNumberFormat="1" applyFont="1" applyBorder="1"/>
    <xf numFmtId="1" fontId="10" fillId="0" borderId="0" xfId="0" applyNumberFormat="1" applyFont="1"/>
    <xf numFmtId="0" fontId="10" fillId="0" borderId="2" xfId="0" applyFont="1" applyBorder="1"/>
    <xf numFmtId="0" fontId="10" fillId="0" borderId="13" xfId="0" applyFont="1" applyBorder="1" applyAlignment="1">
      <alignment vertical="center" wrapText="1"/>
    </xf>
    <xf numFmtId="1" fontId="10" fillId="0" borderId="18" xfId="0" applyNumberFormat="1" applyFont="1" applyBorder="1"/>
    <xf numFmtId="1" fontId="10" fillId="0" borderId="5" xfId="0" applyNumberFormat="1" applyFont="1" applyBorder="1"/>
    <xf numFmtId="164" fontId="10" fillId="3" borderId="14" xfId="2" applyNumberFormat="1" applyFont="1" applyFill="1" applyBorder="1" applyProtection="1">
      <protection locked="0"/>
    </xf>
    <xf numFmtId="171" fontId="10" fillId="7" borderId="0" xfId="0" applyNumberFormat="1" applyFont="1" applyFill="1" applyBorder="1" applyProtection="1">
      <protection locked="0"/>
    </xf>
    <xf numFmtId="171" fontId="10" fillId="7" borderId="10" xfId="0" applyNumberFormat="1" applyFont="1" applyFill="1" applyBorder="1" applyProtection="1">
      <protection locked="0"/>
    </xf>
    <xf numFmtId="10" fontId="10" fillId="0" borderId="0" xfId="0" applyNumberFormat="1" applyFont="1" applyBorder="1"/>
    <xf numFmtId="3" fontId="10" fillId="0" borderId="7" xfId="2" applyNumberFormat="1" applyFont="1" applyBorder="1"/>
    <xf numFmtId="3" fontId="10" fillId="0" borderId="9" xfId="2" applyNumberFormat="1" applyFont="1" applyBorder="1"/>
    <xf numFmtId="3" fontId="10" fillId="0" borderId="11" xfId="0" applyNumberFormat="1" applyFont="1" applyBorder="1"/>
    <xf numFmtId="3" fontId="10" fillId="0" borderId="12" xfId="0" applyNumberFormat="1" applyFont="1" applyBorder="1"/>
    <xf numFmtId="3" fontId="10" fillId="0" borderId="13" xfId="0" applyNumberFormat="1" applyFont="1" applyBorder="1"/>
    <xf numFmtId="3" fontId="10" fillId="0" borderId="16" xfId="0" applyNumberFormat="1" applyFont="1" applyBorder="1"/>
    <xf numFmtId="3" fontId="10" fillId="5" borderId="10" xfId="0" applyNumberFormat="1" applyFont="1" applyFill="1" applyBorder="1" applyProtection="1">
      <protection locked="0"/>
    </xf>
    <xf numFmtId="3" fontId="10" fillId="3" borderId="9" xfId="0" applyNumberFormat="1" applyFont="1" applyFill="1" applyBorder="1" applyProtection="1">
      <protection locked="0"/>
    </xf>
    <xf numFmtId="3" fontId="12" fillId="0" borderId="2" xfId="0" applyNumberFormat="1" applyFont="1" applyBorder="1"/>
    <xf numFmtId="3" fontId="12" fillId="0" borderId="3" xfId="0" applyNumberFormat="1" applyFont="1" applyBorder="1"/>
    <xf numFmtId="3" fontId="12" fillId="0" borderId="1" xfId="0" applyNumberFormat="1" applyFont="1" applyBorder="1"/>
    <xf numFmtId="3" fontId="12" fillId="0" borderId="16" xfId="0" applyNumberFormat="1" applyFont="1" applyBorder="1"/>
    <xf numFmtId="3" fontId="12" fillId="3" borderId="11" xfId="0" applyNumberFormat="1" applyFont="1" applyFill="1" applyBorder="1" applyProtection="1">
      <protection locked="0"/>
    </xf>
    <xf numFmtId="3" fontId="12" fillId="3" borderId="12" xfId="0" applyNumberFormat="1" applyFont="1" applyFill="1" applyBorder="1" applyProtection="1">
      <protection locked="0"/>
    </xf>
    <xf numFmtId="3" fontId="12" fillId="3" borderId="13" xfId="0" applyNumberFormat="1" applyFont="1" applyFill="1" applyBorder="1" applyProtection="1">
      <protection locked="0"/>
    </xf>
    <xf numFmtId="3" fontId="12" fillId="3" borderId="5" xfId="0" applyNumberFormat="1" applyFont="1" applyFill="1" applyBorder="1" applyProtection="1">
      <protection locked="0"/>
    </xf>
    <xf numFmtId="3" fontId="12" fillId="0" borderId="7" xfId="2" applyNumberFormat="1" applyFont="1" applyBorder="1"/>
    <xf numFmtId="3" fontId="12" fillId="0" borderId="9" xfId="2" applyNumberFormat="1" applyFont="1" applyBorder="1"/>
    <xf numFmtId="3" fontId="12" fillId="0" borderId="7" xfId="0" applyNumberFormat="1" applyFont="1" applyBorder="1"/>
    <xf numFmtId="3" fontId="12" fillId="0" borderId="9" xfId="0" applyNumberFormat="1" applyFont="1" applyBorder="1"/>
    <xf numFmtId="3" fontId="10" fillId="0" borderId="7" xfId="0" applyNumberFormat="1" applyFont="1" applyBorder="1"/>
    <xf numFmtId="3" fontId="10" fillId="0" borderId="9" xfId="0" applyNumberFormat="1" applyFont="1" applyBorder="1"/>
    <xf numFmtId="0" fontId="12" fillId="2" borderId="0" xfId="2" applyFont="1" applyFill="1" applyBorder="1" applyAlignment="1">
      <alignment vertical="center" wrapText="1"/>
    </xf>
    <xf numFmtId="0" fontId="12" fillId="0" borderId="12" xfId="2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14" xfId="0" applyFont="1" applyFill="1" applyBorder="1" applyAlignment="1">
      <alignment vertical="center" wrapText="1"/>
    </xf>
    <xf numFmtId="0" fontId="12" fillId="2" borderId="12" xfId="2" applyFont="1" applyFill="1" applyBorder="1" applyAlignment="1">
      <alignment horizontal="left"/>
    </xf>
    <xf numFmtId="0" fontId="12" fillId="2" borderId="13" xfId="2" applyFont="1" applyFill="1" applyBorder="1" applyAlignment="1">
      <alignment horizontal="left"/>
    </xf>
    <xf numFmtId="164" fontId="12" fillId="3" borderId="12" xfId="0" applyNumberFormat="1" applyFont="1" applyFill="1" applyBorder="1" applyAlignment="1" applyProtection="1">
      <alignment wrapText="1"/>
      <protection locked="0"/>
    </xf>
    <xf numFmtId="0" fontId="12" fillId="0" borderId="3" xfId="0" applyFont="1" applyBorder="1" applyAlignment="1"/>
    <xf numFmtId="0" fontId="12" fillId="0" borderId="1" xfId="0" applyFont="1" applyBorder="1" applyAlignment="1"/>
    <xf numFmtId="0" fontId="12" fillId="2" borderId="4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vertical="center" wrapText="1"/>
    </xf>
    <xf numFmtId="0" fontId="12" fillId="2" borderId="14" xfId="0" applyFont="1" applyFill="1" applyBorder="1" applyAlignment="1">
      <alignment vertical="center" wrapText="1"/>
    </xf>
    <xf numFmtId="164" fontId="10" fillId="5" borderId="4" xfId="0" applyNumberFormat="1" applyFont="1" applyFill="1" applyBorder="1" applyProtection="1">
      <protection locked="0"/>
    </xf>
    <xf numFmtId="164" fontId="10" fillId="5" borderId="7" xfId="0" applyNumberFormat="1" applyFont="1" applyFill="1" applyBorder="1" applyProtection="1">
      <protection locked="0"/>
    </xf>
    <xf numFmtId="164" fontId="10" fillId="5" borderId="9" xfId="0" applyNumberFormat="1" applyFont="1" applyFill="1" applyBorder="1" applyProtection="1">
      <protection locked="0"/>
    </xf>
    <xf numFmtId="164" fontId="12" fillId="5" borderId="4" xfId="2" applyNumberFormat="1" applyFont="1" applyFill="1" applyBorder="1" applyProtection="1"/>
    <xf numFmtId="164" fontId="12" fillId="5" borderId="9" xfId="2" applyNumberFormat="1" applyFont="1" applyFill="1" applyBorder="1" applyProtection="1"/>
    <xf numFmtId="164" fontId="12" fillId="3" borderId="15" xfId="2" applyNumberFormat="1" applyFont="1" applyFill="1" applyBorder="1" applyProtection="1">
      <protection locked="0"/>
    </xf>
    <xf numFmtId="165" fontId="12" fillId="5" borderId="11" xfId="2" applyNumberFormat="1" applyFont="1" applyFill="1" applyBorder="1" applyProtection="1"/>
    <xf numFmtId="164" fontId="12" fillId="3" borderId="16" xfId="2" applyNumberFormat="1" applyFont="1" applyFill="1" applyBorder="1" applyProtection="1">
      <protection locked="0"/>
    </xf>
    <xf numFmtId="165" fontId="10" fillId="5" borderId="11" xfId="2" applyNumberFormat="1" applyFont="1" applyFill="1" applyBorder="1" applyProtection="1"/>
    <xf numFmtId="164" fontId="10" fillId="3" borderId="16" xfId="2" applyNumberFormat="1" applyFont="1" applyFill="1" applyBorder="1" applyProtection="1">
      <protection locked="0"/>
    </xf>
    <xf numFmtId="167" fontId="12" fillId="5" borderId="4" xfId="2" applyNumberFormat="1" applyFont="1" applyFill="1" applyBorder="1" applyProtection="1"/>
    <xf numFmtId="167" fontId="10" fillId="5" borderId="4" xfId="2" applyNumberFormat="1" applyFont="1" applyFill="1" applyBorder="1" applyProtection="1"/>
    <xf numFmtId="0" fontId="12" fillId="0" borderId="11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12" fillId="0" borderId="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1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164" fontId="12" fillId="5" borderId="11" xfId="2" applyNumberFormat="1" applyFont="1" applyFill="1" applyBorder="1" applyAlignment="1" applyProtection="1">
      <alignment horizontal="center"/>
    </xf>
    <xf numFmtId="164" fontId="12" fillId="5" borderId="13" xfId="2" applyNumberFormat="1" applyFont="1" applyFill="1" applyBorder="1" applyAlignment="1" applyProtection="1">
      <alignment horizontal="center"/>
    </xf>
    <xf numFmtId="0" fontId="12" fillId="0" borderId="14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12" fillId="0" borderId="18" xfId="0" applyFont="1" applyBorder="1" applyAlignment="1">
      <alignment horizontal="left" wrapText="1"/>
    </xf>
    <xf numFmtId="164" fontId="12" fillId="3" borderId="2" xfId="2" applyNumberFormat="1" applyFont="1" applyFill="1" applyBorder="1" applyAlignment="1" applyProtection="1">
      <alignment horizontal="right"/>
      <protection locked="0"/>
    </xf>
    <xf numFmtId="164" fontId="12" fillId="3" borderId="1" xfId="2" applyNumberFormat="1" applyFont="1" applyFill="1" applyBorder="1" applyAlignment="1" applyProtection="1">
      <alignment horizontal="right"/>
      <protection locked="0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2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8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165" fontId="12" fillId="5" borderId="11" xfId="2" applyNumberFormat="1" applyFont="1" applyFill="1" applyBorder="1" applyAlignment="1" applyProtection="1">
      <alignment horizontal="center" vertical="center" wrapText="1"/>
    </xf>
    <xf numFmtId="165" fontId="12" fillId="5" borderId="13" xfId="2" applyNumberFormat="1" applyFont="1" applyFill="1" applyBorder="1" applyAlignment="1" applyProtection="1">
      <alignment horizontal="center" vertical="center" wrapText="1"/>
    </xf>
    <xf numFmtId="167" fontId="12" fillId="4" borderId="11" xfId="2" applyNumberFormat="1" applyFont="1" applyFill="1" applyBorder="1" applyAlignment="1" applyProtection="1">
      <alignment horizontal="center"/>
      <protection locked="0"/>
    </xf>
    <xf numFmtId="167" fontId="12" fillId="4" borderId="13" xfId="2" applyNumberFormat="1" applyFont="1" applyFill="1" applyBorder="1" applyAlignment="1" applyProtection="1">
      <alignment horizontal="center"/>
      <protection locked="0"/>
    </xf>
    <xf numFmtId="168" fontId="12" fillId="0" borderId="8" xfId="4" applyNumberFormat="1" applyFont="1" applyBorder="1" applyAlignment="1">
      <alignment horizontal="center"/>
    </xf>
    <xf numFmtId="168" fontId="12" fillId="0" borderId="5" xfId="4" applyNumberFormat="1" applyFont="1" applyBorder="1" applyAlignment="1">
      <alignment horizontal="center"/>
    </xf>
    <xf numFmtId="165" fontId="12" fillId="3" borderId="8" xfId="2" applyNumberFormat="1" applyFont="1" applyFill="1" applyBorder="1" applyAlignment="1" applyProtection="1">
      <alignment horizontal="left"/>
      <protection locked="0"/>
    </xf>
    <xf numFmtId="165" fontId="12" fillId="3" borderId="10" xfId="2" applyNumberFormat="1" applyFont="1" applyFill="1" applyBorder="1" applyAlignment="1" applyProtection="1">
      <alignment horizontal="left"/>
      <protection locked="0"/>
    </xf>
    <xf numFmtId="165" fontId="12" fillId="3" borderId="5" xfId="2" applyNumberFormat="1" applyFont="1" applyFill="1" applyBorder="1" applyAlignment="1" applyProtection="1">
      <alignment horizontal="left"/>
      <protection locked="0"/>
    </xf>
    <xf numFmtId="165" fontId="12" fillId="0" borderId="0" xfId="2" applyNumberFormat="1" applyFont="1" applyBorder="1" applyAlignment="1">
      <alignment horizontal="right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165" fontId="12" fillId="5" borderId="11" xfId="2" applyNumberFormat="1" applyFont="1" applyFill="1" applyBorder="1" applyAlignment="1" applyProtection="1">
      <alignment horizontal="center"/>
    </xf>
    <xf numFmtId="165" fontId="12" fillId="5" borderId="12" xfId="2" applyNumberFormat="1" applyFont="1" applyFill="1" applyBorder="1" applyAlignment="1" applyProtection="1">
      <alignment horizontal="center"/>
    </xf>
    <xf numFmtId="165" fontId="12" fillId="5" borderId="13" xfId="2" applyNumberFormat="1" applyFont="1" applyFill="1" applyBorder="1" applyAlignment="1" applyProtection="1">
      <alignment horizontal="center"/>
    </xf>
    <xf numFmtId="167" fontId="12" fillId="0" borderId="11" xfId="0" applyNumberFormat="1" applyFont="1" applyBorder="1" applyAlignment="1">
      <alignment horizontal="right"/>
    </xf>
    <xf numFmtId="167" fontId="12" fillId="0" borderId="13" xfId="0" applyNumberFormat="1" applyFont="1" applyBorder="1" applyAlignment="1">
      <alignment horizontal="right"/>
    </xf>
    <xf numFmtId="0" fontId="12" fillId="0" borderId="14" xfId="2" applyFont="1" applyBorder="1" applyAlignment="1">
      <alignment horizontal="left"/>
    </xf>
    <xf numFmtId="0" fontId="12" fillId="0" borderId="0" xfId="2" applyFont="1" applyBorder="1" applyAlignment="1">
      <alignment horizontal="left"/>
    </xf>
    <xf numFmtId="0" fontId="12" fillId="0" borderId="18" xfId="2" applyFont="1" applyBorder="1" applyAlignment="1">
      <alignment horizontal="left"/>
    </xf>
    <xf numFmtId="0" fontId="14" fillId="0" borderId="8" xfId="2" applyFont="1" applyBorder="1" applyAlignment="1">
      <alignment horizontal="left"/>
    </xf>
    <xf numFmtId="0" fontId="14" fillId="0" borderId="10" xfId="2" applyFont="1" applyBorder="1" applyAlignment="1">
      <alignment horizontal="left"/>
    </xf>
    <xf numFmtId="0" fontId="14" fillId="0" borderId="5" xfId="2" applyFont="1" applyBorder="1" applyAlignment="1">
      <alignment horizontal="left"/>
    </xf>
    <xf numFmtId="0" fontId="12" fillId="2" borderId="2" xfId="2" applyFont="1" applyFill="1" applyBorder="1" applyAlignment="1">
      <alignment horizontal="center" vertical="center" wrapText="1"/>
    </xf>
    <xf numFmtId="0" fontId="12" fillId="2" borderId="3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2" fillId="2" borderId="8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center" vertical="center" wrapText="1"/>
    </xf>
    <xf numFmtId="165" fontId="12" fillId="3" borderId="14" xfId="2" applyNumberFormat="1" applyFont="1" applyFill="1" applyBorder="1" applyAlignment="1" applyProtection="1">
      <alignment horizontal="center"/>
      <protection locked="0"/>
    </xf>
    <xf numFmtId="165" fontId="12" fillId="3" borderId="0" xfId="2" applyNumberFormat="1" applyFont="1" applyFill="1" applyBorder="1" applyAlignment="1" applyProtection="1">
      <alignment horizontal="center"/>
      <protection locked="0"/>
    </xf>
    <xf numFmtId="165" fontId="12" fillId="3" borderId="18" xfId="2" applyNumberFormat="1" applyFont="1" applyFill="1" applyBorder="1" applyAlignment="1" applyProtection="1">
      <alignment horizontal="center"/>
      <protection locked="0"/>
    </xf>
    <xf numFmtId="165" fontId="12" fillId="5" borderId="10" xfId="2" applyNumberFormat="1" applyFont="1" applyFill="1" applyBorder="1" applyAlignment="1" applyProtection="1">
      <alignment horizontal="left"/>
    </xf>
    <xf numFmtId="165" fontId="12" fillId="5" borderId="5" xfId="2" applyNumberFormat="1" applyFont="1" applyFill="1" applyBorder="1" applyAlignment="1" applyProtection="1">
      <alignment horizontal="left"/>
    </xf>
    <xf numFmtId="165" fontId="12" fillId="5" borderId="12" xfId="2" applyNumberFormat="1" applyFont="1" applyFill="1" applyBorder="1" applyAlignment="1" applyProtection="1">
      <alignment horizontal="left"/>
    </xf>
    <xf numFmtId="165" fontId="12" fillId="5" borderId="13" xfId="2" applyNumberFormat="1" applyFont="1" applyFill="1" applyBorder="1" applyAlignment="1" applyProtection="1">
      <alignment horizontal="left"/>
    </xf>
    <xf numFmtId="0" fontId="12" fillId="2" borderId="12" xfId="2" applyFont="1" applyFill="1" applyBorder="1" applyAlignment="1">
      <alignment horizontal="center" vertical="center" wrapText="1"/>
    </xf>
    <xf numFmtId="0" fontId="12" fillId="2" borderId="13" xfId="2" applyFont="1" applyFill="1" applyBorder="1" applyAlignment="1">
      <alignment horizontal="center" vertical="center" wrapText="1"/>
    </xf>
    <xf numFmtId="165" fontId="12" fillId="5" borderId="2" xfId="2" applyNumberFormat="1" applyFont="1" applyFill="1" applyBorder="1" applyAlignment="1" applyProtection="1">
      <alignment horizontal="center"/>
    </xf>
    <xf numFmtId="165" fontId="12" fillId="5" borderId="3" xfId="2" applyNumberFormat="1" applyFont="1" applyFill="1" applyBorder="1" applyAlignment="1" applyProtection="1">
      <alignment horizontal="center"/>
    </xf>
    <xf numFmtId="165" fontId="12" fillId="5" borderId="8" xfId="2" applyNumberFormat="1" applyFont="1" applyFill="1" applyBorder="1" applyAlignment="1" applyProtection="1">
      <alignment horizontal="center"/>
    </xf>
    <xf numFmtId="165" fontId="12" fillId="5" borderId="10" xfId="2" applyNumberFormat="1" applyFont="1" applyFill="1" applyBorder="1" applyAlignment="1" applyProtection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9" borderId="11" xfId="2" applyFont="1" applyFill="1" applyBorder="1" applyAlignment="1">
      <alignment horizontal="center"/>
    </xf>
    <xf numFmtId="0" fontId="12" fillId="9" borderId="12" xfId="2" applyFont="1" applyFill="1" applyBorder="1" applyAlignment="1">
      <alignment horizontal="center"/>
    </xf>
    <xf numFmtId="0" fontId="12" fillId="9" borderId="13" xfId="2" applyFont="1" applyFill="1" applyBorder="1" applyAlignment="1">
      <alignment horizontal="center"/>
    </xf>
    <xf numFmtId="0" fontId="12" fillId="2" borderId="27" xfId="2" applyFont="1" applyFill="1" applyBorder="1" applyAlignment="1">
      <alignment horizontal="center"/>
    </xf>
    <xf numFmtId="0" fontId="12" fillId="2" borderId="12" xfId="2" applyFont="1" applyFill="1" applyBorder="1" applyAlignment="1">
      <alignment horizontal="center"/>
    </xf>
    <xf numFmtId="0" fontId="12" fillId="2" borderId="26" xfId="2" applyFont="1" applyFill="1" applyBorder="1" applyAlignment="1">
      <alignment horizontal="center"/>
    </xf>
    <xf numFmtId="0" fontId="12" fillId="2" borderId="13" xfId="2" applyFont="1" applyFill="1" applyBorder="1" applyAlignment="1">
      <alignment horizontal="center"/>
    </xf>
    <xf numFmtId="0" fontId="12" fillId="2" borderId="11" xfId="2" applyFont="1" applyFill="1" applyBorder="1" applyAlignment="1">
      <alignment horizontal="center"/>
    </xf>
    <xf numFmtId="0" fontId="12" fillId="0" borderId="11" xfId="2" applyFont="1" applyBorder="1" applyAlignment="1">
      <alignment horizontal="left"/>
    </xf>
    <xf numFmtId="0" fontId="12" fillId="0" borderId="12" xfId="2" applyFont="1" applyBorder="1" applyAlignment="1">
      <alignment horizontal="left"/>
    </xf>
    <xf numFmtId="0" fontId="12" fillId="0" borderId="13" xfId="2" applyFont="1" applyBorder="1" applyAlignment="1">
      <alignment horizontal="left"/>
    </xf>
    <xf numFmtId="165" fontId="12" fillId="0" borderId="11" xfId="2" applyNumberFormat="1" applyFont="1" applyBorder="1" applyAlignment="1">
      <alignment horizontal="right"/>
    </xf>
    <xf numFmtId="165" fontId="12" fillId="0" borderId="12" xfId="2" applyNumberFormat="1" applyFont="1" applyBorder="1" applyAlignment="1">
      <alignment horizontal="right"/>
    </xf>
    <xf numFmtId="165" fontId="12" fillId="5" borderId="4" xfId="2" applyNumberFormat="1" applyFont="1" applyFill="1" applyBorder="1" applyAlignment="1" applyProtection="1">
      <alignment horizontal="center"/>
    </xf>
    <xf numFmtId="165" fontId="12" fillId="5" borderId="7" xfId="2" applyNumberFormat="1" applyFont="1" applyFill="1" applyBorder="1" applyAlignment="1" applyProtection="1">
      <alignment horizontal="center"/>
    </xf>
    <xf numFmtId="165" fontId="12" fillId="5" borderId="9" xfId="2" applyNumberFormat="1" applyFont="1" applyFill="1" applyBorder="1" applyAlignment="1" applyProtection="1">
      <alignment horizontal="center"/>
    </xf>
    <xf numFmtId="167" fontId="12" fillId="3" borderId="0" xfId="2" applyNumberFormat="1" applyFont="1" applyFill="1" applyBorder="1" applyAlignment="1" applyProtection="1">
      <alignment horizontal="right"/>
      <protection locked="0"/>
    </xf>
    <xf numFmtId="168" fontId="12" fillId="0" borderId="11" xfId="4" applyNumberFormat="1" applyFont="1" applyBorder="1" applyAlignment="1" applyProtection="1">
      <alignment horizontal="center"/>
    </xf>
    <xf numFmtId="168" fontId="12" fillId="0" borderId="12" xfId="4" applyNumberFormat="1" applyFont="1" applyBorder="1" applyAlignment="1" applyProtection="1">
      <alignment horizontal="center"/>
    </xf>
    <xf numFmtId="168" fontId="12" fillId="0" borderId="13" xfId="4" applyNumberFormat="1" applyFont="1" applyBorder="1" applyAlignment="1" applyProtection="1">
      <alignment horizont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9" borderId="10" xfId="2" applyFont="1" applyFill="1" applyBorder="1" applyAlignment="1">
      <alignment horizontal="center"/>
    </xf>
    <xf numFmtId="0" fontId="12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0" fillId="0" borderId="11" xfId="2" applyFont="1" applyBorder="1" applyAlignment="1">
      <alignment horizontal="center"/>
    </xf>
    <xf numFmtId="0" fontId="10" fillId="0" borderId="12" xfId="2" applyFont="1" applyBorder="1" applyAlignment="1">
      <alignment horizontal="center"/>
    </xf>
    <xf numFmtId="0" fontId="10" fillId="0" borderId="13" xfId="2" applyFont="1" applyBorder="1" applyAlignment="1">
      <alignment horizontal="center"/>
    </xf>
    <xf numFmtId="0" fontId="12" fillId="2" borderId="2" xfId="2" applyFont="1" applyFill="1" applyBorder="1" applyAlignment="1">
      <alignment horizontal="center"/>
    </xf>
    <xf numFmtId="0" fontId="12" fillId="2" borderId="1" xfId="2" applyFont="1" applyFill="1" applyBorder="1" applyAlignment="1">
      <alignment horizontal="center"/>
    </xf>
    <xf numFmtId="0" fontId="12" fillId="2" borderId="4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0" fillId="0" borderId="2" xfId="2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3" xfId="2" applyFont="1" applyFill="1" applyBorder="1" applyAlignment="1">
      <alignment horizontal="center"/>
    </xf>
    <xf numFmtId="0" fontId="12" fillId="2" borderId="28" xfId="2" applyFont="1" applyFill="1" applyBorder="1" applyAlignment="1">
      <alignment horizontal="center"/>
    </xf>
    <xf numFmtId="167" fontId="12" fillId="5" borderId="11" xfId="2" applyNumberFormat="1" applyFont="1" applyFill="1" applyBorder="1" applyAlignment="1" applyProtection="1">
      <alignment horizontal="right"/>
    </xf>
    <xf numFmtId="167" fontId="12" fillId="5" borderId="13" xfId="2" applyNumberFormat="1" applyFont="1" applyFill="1" applyBorder="1" applyAlignment="1" applyProtection="1">
      <alignment horizontal="right"/>
    </xf>
    <xf numFmtId="165" fontId="12" fillId="5" borderId="1" xfId="2" applyNumberFormat="1" applyFont="1" applyFill="1" applyBorder="1" applyAlignment="1" applyProtection="1">
      <alignment horizontal="center"/>
    </xf>
    <xf numFmtId="165" fontId="12" fillId="5" borderId="3" xfId="2" applyNumberFormat="1" applyFont="1" applyFill="1" applyBorder="1" applyAlignment="1" applyProtection="1">
      <alignment horizontal="left"/>
    </xf>
    <xf numFmtId="165" fontId="12" fillId="5" borderId="1" xfId="2" applyNumberFormat="1" applyFont="1" applyFill="1" applyBorder="1" applyAlignment="1" applyProtection="1">
      <alignment horizontal="left"/>
    </xf>
    <xf numFmtId="0" fontId="12" fillId="0" borderId="0" xfId="0" applyFont="1" applyBorder="1" applyAlignment="1">
      <alignment horizontal="center" wrapText="1"/>
    </xf>
    <xf numFmtId="164" fontId="12" fillId="3" borderId="11" xfId="0" applyNumberFormat="1" applyFont="1" applyFill="1" applyBorder="1" applyAlignment="1" applyProtection="1">
      <alignment horizontal="center"/>
      <protection locked="0"/>
    </xf>
    <xf numFmtId="164" fontId="12" fillId="3" borderId="13" xfId="0" applyNumberFormat="1" applyFont="1" applyFill="1" applyBorder="1" applyAlignment="1" applyProtection="1">
      <alignment horizontal="center"/>
      <protection locked="0"/>
    </xf>
    <xf numFmtId="0" fontId="12" fillId="9" borderId="8" xfId="2" applyFont="1" applyFill="1" applyBorder="1" applyAlignment="1">
      <alignment horizontal="center"/>
    </xf>
    <xf numFmtId="0" fontId="12" fillId="9" borderId="5" xfId="2" applyFont="1" applyFill="1" applyBorder="1" applyAlignment="1">
      <alignment horizontal="center"/>
    </xf>
    <xf numFmtId="0" fontId="9" fillId="8" borderId="11" xfId="0" applyFont="1" applyFill="1" applyBorder="1" applyAlignment="1">
      <alignment horizontal="center"/>
    </xf>
    <xf numFmtId="0" fontId="9" fillId="8" borderId="12" xfId="0" applyFont="1" applyFill="1" applyBorder="1" applyAlignment="1">
      <alignment horizontal="center"/>
    </xf>
    <xf numFmtId="0" fontId="9" fillId="8" borderId="13" xfId="0" applyFont="1" applyFill="1" applyBorder="1" applyAlignment="1">
      <alignment horizontal="center"/>
    </xf>
    <xf numFmtId="0" fontId="12" fillId="2" borderId="11" xfId="2" applyFont="1" applyFill="1" applyBorder="1" applyAlignment="1">
      <alignment horizontal="center" vertical="center" wrapText="1"/>
    </xf>
    <xf numFmtId="0" fontId="10" fillId="2" borderId="7" xfId="2" applyFont="1" applyFill="1" applyBorder="1" applyAlignment="1">
      <alignment horizontal="center" vertical="center" wrapText="1"/>
    </xf>
    <xf numFmtId="0" fontId="10" fillId="2" borderId="9" xfId="2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2" borderId="12" xfId="2" applyFont="1" applyFill="1" applyBorder="1" applyAlignment="1">
      <alignment horizontal="center" vertical="center" wrapText="1"/>
    </xf>
    <xf numFmtId="0" fontId="10" fillId="2" borderId="13" xfId="2" applyFont="1" applyFill="1" applyBorder="1" applyAlignment="1">
      <alignment horizontal="center" vertical="center" wrapText="1"/>
    </xf>
    <xf numFmtId="165" fontId="10" fillId="3" borderId="14" xfId="2" applyNumberFormat="1" applyFont="1" applyFill="1" applyBorder="1" applyAlignment="1" applyProtection="1">
      <alignment horizontal="center"/>
      <protection locked="0"/>
    </xf>
    <xf numFmtId="165" fontId="10" fillId="3" borderId="0" xfId="2" applyNumberFormat="1" applyFont="1" applyFill="1" applyBorder="1" applyAlignment="1" applyProtection="1">
      <alignment horizontal="center"/>
      <protection locked="0"/>
    </xf>
    <xf numFmtId="165" fontId="10" fillId="3" borderId="18" xfId="2" applyNumberFormat="1" applyFont="1" applyFill="1" applyBorder="1" applyAlignment="1" applyProtection="1">
      <alignment horizontal="center"/>
      <protection locked="0"/>
    </xf>
    <xf numFmtId="0" fontId="10" fillId="9" borderId="11" xfId="2" applyFont="1" applyFill="1" applyBorder="1" applyAlignment="1">
      <alignment horizontal="center"/>
    </xf>
    <xf numFmtId="0" fontId="10" fillId="9" borderId="12" xfId="2" applyFont="1" applyFill="1" applyBorder="1" applyAlignment="1">
      <alignment horizontal="center"/>
    </xf>
    <xf numFmtId="0" fontId="10" fillId="9" borderId="13" xfId="2" applyFont="1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1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10" fillId="0" borderId="18" xfId="0" applyFont="1" applyBorder="1" applyAlignment="1">
      <alignment horizontal="left" wrapText="1"/>
    </xf>
    <xf numFmtId="164" fontId="10" fillId="5" borderId="11" xfId="2" applyNumberFormat="1" applyFont="1" applyFill="1" applyBorder="1" applyAlignment="1" applyProtection="1">
      <alignment horizontal="center"/>
    </xf>
    <xf numFmtId="164" fontId="10" fillId="5" borderId="13" xfId="2" applyNumberFormat="1" applyFont="1" applyFill="1" applyBorder="1" applyAlignment="1" applyProtection="1">
      <alignment horizontal="center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164" fontId="10" fillId="3" borderId="2" xfId="2" applyNumberFormat="1" applyFont="1" applyFill="1" applyBorder="1" applyAlignment="1" applyProtection="1">
      <alignment horizontal="right"/>
      <protection locked="0"/>
    </xf>
    <xf numFmtId="164" fontId="10" fillId="3" borderId="1" xfId="2" applyNumberFormat="1" applyFont="1" applyFill="1" applyBorder="1" applyAlignment="1" applyProtection="1">
      <alignment horizontal="right"/>
      <protection locked="0"/>
    </xf>
    <xf numFmtId="0" fontId="10" fillId="0" borderId="10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0" fillId="0" borderId="11" xfId="2" applyFont="1" applyBorder="1" applyAlignment="1">
      <alignment horizontal="left"/>
    </xf>
    <xf numFmtId="0" fontId="10" fillId="0" borderId="12" xfId="2" applyFont="1" applyBorder="1" applyAlignment="1">
      <alignment horizontal="left"/>
    </xf>
    <xf numFmtId="0" fontId="10" fillId="0" borderId="13" xfId="2" applyFont="1" applyBorder="1" applyAlignment="1">
      <alignment horizontal="left"/>
    </xf>
    <xf numFmtId="167" fontId="10" fillId="0" borderId="11" xfId="0" applyNumberFormat="1" applyFont="1" applyBorder="1" applyAlignment="1">
      <alignment horizontal="right"/>
    </xf>
    <xf numFmtId="167" fontId="10" fillId="0" borderId="13" xfId="0" applyNumberFormat="1" applyFont="1" applyBorder="1" applyAlignment="1">
      <alignment horizontal="right"/>
    </xf>
    <xf numFmtId="167" fontId="10" fillId="3" borderId="0" xfId="2" applyNumberFormat="1" applyFont="1" applyFill="1" applyBorder="1" applyAlignment="1" applyProtection="1">
      <alignment horizontal="right"/>
      <protection locked="0"/>
    </xf>
    <xf numFmtId="165" fontId="10" fillId="5" borderId="11" xfId="2" applyNumberFormat="1" applyFont="1" applyFill="1" applyBorder="1" applyAlignment="1" applyProtection="1">
      <alignment horizontal="center"/>
    </xf>
    <xf numFmtId="165" fontId="10" fillId="5" borderId="12" xfId="2" applyNumberFormat="1" applyFont="1" applyFill="1" applyBorder="1" applyAlignment="1" applyProtection="1">
      <alignment horizontal="center"/>
    </xf>
    <xf numFmtId="165" fontId="10" fillId="5" borderId="13" xfId="2" applyNumberFormat="1" applyFont="1" applyFill="1" applyBorder="1" applyAlignment="1" applyProtection="1">
      <alignment horizontal="center"/>
    </xf>
    <xf numFmtId="165" fontId="10" fillId="0" borderId="11" xfId="2" applyNumberFormat="1" applyFont="1" applyBorder="1" applyAlignment="1">
      <alignment horizontal="right"/>
    </xf>
    <xf numFmtId="165" fontId="10" fillId="0" borderId="12" xfId="2" applyNumberFormat="1" applyFont="1" applyBorder="1" applyAlignment="1">
      <alignment horizontal="right"/>
    </xf>
    <xf numFmtId="0" fontId="10" fillId="0" borderId="14" xfId="2" applyFont="1" applyBorder="1" applyAlignment="1">
      <alignment horizontal="left"/>
    </xf>
    <xf numFmtId="0" fontId="10" fillId="0" borderId="0" xfId="2" applyFont="1" applyBorder="1" applyAlignment="1">
      <alignment horizontal="left"/>
    </xf>
    <xf numFmtId="0" fontId="10" fillId="0" borderId="18" xfId="2" applyFont="1" applyBorder="1" applyAlignment="1">
      <alignment horizontal="left"/>
    </xf>
    <xf numFmtId="165" fontId="10" fillId="3" borderId="8" xfId="2" applyNumberFormat="1" applyFont="1" applyFill="1" applyBorder="1" applyAlignment="1" applyProtection="1">
      <alignment horizontal="left"/>
      <protection locked="0"/>
    </xf>
    <xf numFmtId="165" fontId="10" fillId="3" borderId="10" xfId="2" applyNumberFormat="1" applyFont="1" applyFill="1" applyBorder="1" applyAlignment="1" applyProtection="1">
      <alignment horizontal="left"/>
      <protection locked="0"/>
    </xf>
    <xf numFmtId="165" fontId="10" fillId="3" borderId="5" xfId="2" applyNumberFormat="1" applyFont="1" applyFill="1" applyBorder="1" applyAlignment="1" applyProtection="1">
      <alignment horizontal="left"/>
      <protection locked="0"/>
    </xf>
    <xf numFmtId="167" fontId="10" fillId="5" borderId="11" xfId="2" applyNumberFormat="1" applyFont="1" applyFill="1" applyBorder="1" applyAlignment="1" applyProtection="1">
      <alignment horizontal="right"/>
    </xf>
    <xf numFmtId="167" fontId="10" fillId="5" borderId="13" xfId="2" applyNumberFormat="1" applyFont="1" applyFill="1" applyBorder="1" applyAlignment="1" applyProtection="1">
      <alignment horizontal="right"/>
    </xf>
    <xf numFmtId="0" fontId="10" fillId="0" borderId="8" xfId="2" applyFont="1" applyBorder="1" applyAlignment="1">
      <alignment horizontal="left"/>
    </xf>
    <xf numFmtId="0" fontId="10" fillId="0" borderId="10" xfId="2" applyFont="1" applyBorder="1" applyAlignment="1">
      <alignment horizontal="left"/>
    </xf>
    <xf numFmtId="0" fontId="10" fillId="0" borderId="5" xfId="2" applyFont="1" applyBorder="1" applyAlignment="1">
      <alignment horizontal="left"/>
    </xf>
    <xf numFmtId="165" fontId="10" fillId="0" borderId="0" xfId="2" applyNumberFormat="1" applyFont="1" applyBorder="1" applyAlignment="1">
      <alignment horizontal="right"/>
    </xf>
    <xf numFmtId="168" fontId="10" fillId="0" borderId="8" xfId="4" applyNumberFormat="1" applyFont="1" applyBorder="1" applyAlignment="1">
      <alignment horizontal="center"/>
    </xf>
    <xf numFmtId="168" fontId="10" fillId="0" borderId="5" xfId="4" applyNumberFormat="1" applyFont="1" applyBorder="1" applyAlignment="1">
      <alignment horizontal="center"/>
    </xf>
    <xf numFmtId="165" fontId="10" fillId="5" borderId="2" xfId="2" applyNumberFormat="1" applyFont="1" applyFill="1" applyBorder="1" applyAlignment="1" applyProtection="1">
      <alignment horizontal="center"/>
    </xf>
    <xf numFmtId="165" fontId="10" fillId="5" borderId="3" xfId="2" applyNumberFormat="1" applyFont="1" applyFill="1" applyBorder="1" applyAlignment="1" applyProtection="1">
      <alignment horizontal="center"/>
    </xf>
    <xf numFmtId="165" fontId="10" fillId="5" borderId="1" xfId="2" applyNumberFormat="1" applyFont="1" applyFill="1" applyBorder="1" applyAlignment="1" applyProtection="1">
      <alignment horizontal="center"/>
    </xf>
    <xf numFmtId="0" fontId="10" fillId="0" borderId="11" xfId="0" applyFont="1" applyBorder="1" applyAlignment="1">
      <alignment horizontal="left"/>
    </xf>
    <xf numFmtId="0" fontId="10" fillId="0" borderId="13" xfId="0" applyFont="1" applyBorder="1" applyAlignment="1">
      <alignment horizontal="left"/>
    </xf>
    <xf numFmtId="165" fontId="10" fillId="5" borderId="8" xfId="2" applyNumberFormat="1" applyFont="1" applyFill="1" applyBorder="1" applyAlignment="1" applyProtection="1">
      <alignment horizontal="center"/>
    </xf>
    <xf numFmtId="165" fontId="10" fillId="5" borderId="10" xfId="2" applyNumberFormat="1" applyFont="1" applyFill="1" applyBorder="1" applyAlignment="1" applyProtection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165" fontId="10" fillId="5" borderId="12" xfId="2" applyNumberFormat="1" applyFont="1" applyFill="1" applyBorder="1" applyAlignment="1" applyProtection="1">
      <alignment horizontal="left"/>
    </xf>
    <xf numFmtId="165" fontId="10" fillId="5" borderId="13" xfId="2" applyNumberFormat="1" applyFont="1" applyFill="1" applyBorder="1" applyAlignment="1" applyProtection="1">
      <alignment horizontal="left"/>
    </xf>
    <xf numFmtId="165" fontId="10" fillId="5" borderId="10" xfId="2" applyNumberFormat="1" applyFont="1" applyFill="1" applyBorder="1" applyAlignment="1" applyProtection="1">
      <alignment horizontal="left"/>
    </xf>
    <xf numFmtId="165" fontId="10" fillId="5" borderId="5" xfId="2" applyNumberFormat="1" applyFont="1" applyFill="1" applyBorder="1" applyAlignment="1" applyProtection="1">
      <alignment horizontal="left"/>
    </xf>
    <xf numFmtId="165" fontId="10" fillId="5" borderId="3" xfId="2" applyNumberFormat="1" applyFont="1" applyFill="1" applyBorder="1" applyAlignment="1" applyProtection="1">
      <alignment horizontal="left"/>
    </xf>
    <xf numFmtId="165" fontId="10" fillId="5" borderId="1" xfId="2" applyNumberFormat="1" applyFont="1" applyFill="1" applyBorder="1" applyAlignment="1" applyProtection="1">
      <alignment horizontal="left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165" fontId="10" fillId="5" borderId="4" xfId="2" applyNumberFormat="1" applyFont="1" applyFill="1" applyBorder="1" applyAlignment="1" applyProtection="1">
      <alignment horizontal="center"/>
    </xf>
    <xf numFmtId="165" fontId="10" fillId="5" borderId="7" xfId="2" applyNumberFormat="1" applyFont="1" applyFill="1" applyBorder="1" applyAlignment="1" applyProtection="1">
      <alignment horizontal="center"/>
    </xf>
    <xf numFmtId="165" fontId="10" fillId="5" borderId="9" xfId="2" applyNumberFormat="1" applyFont="1" applyFill="1" applyBorder="1" applyAlignment="1" applyProtection="1">
      <alignment horizontal="center"/>
    </xf>
    <xf numFmtId="165" fontId="10" fillId="5" borderId="11" xfId="2" applyNumberFormat="1" applyFont="1" applyFill="1" applyBorder="1" applyAlignment="1" applyProtection="1">
      <alignment horizontal="center" vertical="center" wrapText="1"/>
    </xf>
    <xf numFmtId="165" fontId="10" fillId="5" borderId="13" xfId="2" applyNumberFormat="1" applyFont="1" applyFill="1" applyBorder="1" applyAlignment="1" applyProtection="1">
      <alignment horizontal="center" vertical="center" wrapText="1"/>
    </xf>
    <xf numFmtId="167" fontId="10" fillId="4" borderId="11" xfId="2" applyNumberFormat="1" applyFont="1" applyFill="1" applyBorder="1" applyAlignment="1" applyProtection="1">
      <alignment horizontal="center"/>
      <protection locked="0"/>
    </xf>
    <xf numFmtId="167" fontId="10" fillId="4" borderId="13" xfId="2" applyNumberFormat="1" applyFont="1" applyFill="1" applyBorder="1" applyAlignment="1" applyProtection="1">
      <alignment horizontal="center"/>
      <protection locked="0"/>
    </xf>
    <xf numFmtId="0" fontId="10" fillId="0" borderId="12" xfId="0" applyFont="1" applyBorder="1" applyAlignment="1">
      <alignment horizontal="left"/>
    </xf>
    <xf numFmtId="0" fontId="10" fillId="9" borderId="10" xfId="2" applyFont="1" applyFill="1" applyBorder="1" applyAlignment="1">
      <alignment horizontal="center"/>
    </xf>
    <xf numFmtId="0" fontId="2" fillId="2" borderId="4" xfId="2" applyFont="1" applyFill="1" applyBorder="1" applyAlignment="1">
      <alignment horizontal="center" vertical="center" wrapText="1"/>
    </xf>
    <xf numFmtId="0" fontId="2" fillId="2" borderId="7" xfId="2" applyFont="1" applyFill="1" applyBorder="1" applyAlignment="1">
      <alignment horizontal="center" vertical="center" wrapText="1"/>
    </xf>
    <xf numFmtId="0" fontId="2" fillId="2" borderId="9" xfId="2" applyFont="1" applyFill="1" applyBorder="1" applyAlignment="1">
      <alignment horizontal="center" vertical="center" wrapText="1"/>
    </xf>
    <xf numFmtId="0" fontId="3" fillId="0" borderId="18" xfId="2" applyBorder="1" applyAlignment="1">
      <alignment horizontal="center" vertical="center" wrapText="1"/>
    </xf>
    <xf numFmtId="0" fontId="3" fillId="0" borderId="5" xfId="2" applyBorder="1" applyAlignment="1">
      <alignment horizontal="center" vertical="center" wrapText="1"/>
    </xf>
  </cellXfs>
  <cellStyles count="6">
    <cellStyle name="Komma" xfId="5" builtinId="3"/>
    <cellStyle name="Normal" xfId="0" builtinId="0"/>
    <cellStyle name="Normal 2" xfId="1"/>
    <cellStyle name="Normal 3" xfId="2"/>
    <cellStyle name="Prosent" xfId="4" builtinId="5"/>
    <cellStyle name="Pros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worksheet" Target="worksheets/sheet4.xml"/><Relationship Id="rId12" Type="http://schemas.openxmlformats.org/officeDocument/2006/relationships/chartsheet" Target="chartsheets/sheet7.xml"/><Relationship Id="rId17" Type="http://schemas.openxmlformats.org/officeDocument/2006/relationships/styles" Target="styles.xml"/><Relationship Id="rId2" Type="http://schemas.openxmlformats.org/officeDocument/2006/relationships/chartsheet" Target="chartsheets/sheet2.xml"/><Relationship Id="rId16" Type="http://schemas.openxmlformats.org/officeDocument/2006/relationships/theme" Target="theme/theme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chartsheet" Target="chartsheets/sheet6.xml"/><Relationship Id="rId5" Type="http://schemas.openxmlformats.org/officeDocument/2006/relationships/worksheet" Target="work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calcChain" Target="calcChain.xml"/><Relationship Id="rId4" Type="http://schemas.openxmlformats.org/officeDocument/2006/relationships/worksheet" Target="worksheets/sheet1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val>
            <c:numRef>
              <c:f>'I fjor'!#REF!</c:f>
              <c:numCache>
                <c:formatCode>0.0_)</c:formatCode>
                <c:ptCount val="4"/>
                <c:pt idx="0">
                  <c:v>18.767605633802816</c:v>
                </c:pt>
                <c:pt idx="1">
                  <c:v>28.5</c:v>
                </c:pt>
                <c:pt idx="2">
                  <c:v>19</c:v>
                </c:pt>
                <c:pt idx="3">
                  <c:v>18.464788732394368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Antall stillinger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4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7922048"/>
        <c:axId val="327922440"/>
      </c:barChart>
      <c:catAx>
        <c:axId val="32792204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327922440"/>
        <c:crosses val="autoZero"/>
        <c:auto val="1"/>
        <c:lblAlgn val="ctr"/>
        <c:lblOffset val="100"/>
        <c:noMultiLvlLbl val="0"/>
      </c:catAx>
      <c:valAx>
        <c:axId val="327922440"/>
        <c:scaling>
          <c:orientation val="minMax"/>
        </c:scaling>
        <c:delete val="0"/>
        <c:axPos val="b"/>
        <c:majorGridlines/>
        <c:numFmt formatCode="0.0_)" sourceLinked="1"/>
        <c:majorTickMark val="out"/>
        <c:minorTickMark val="none"/>
        <c:tickLblPos val="nextTo"/>
        <c:crossAx val="327922048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oppsum!$F$30</c:f>
          <c:strCache>
            <c:ptCount val="1"/>
            <c:pt idx="0">
              <c:v>Andel fravær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oppsum!$F$31</c:f>
              <c:strCache>
                <c:ptCount val="1"/>
                <c:pt idx="0">
                  <c:v>Langtidsfravær</c:v>
                </c:pt>
              </c:strCache>
            </c:strRef>
          </c:tx>
          <c:invertIfNegative val="0"/>
          <c:cat>
            <c:strRef>
              <c:f>oppsum!$E$32:$E$34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oppsum!$F$32:$F$34</c:f>
              <c:numCache>
                <c:formatCode>0.0\ %</c:formatCode>
                <c:ptCount val="3"/>
                <c:pt idx="0">
                  <c:v>0.16500000000000001</c:v>
                </c:pt>
                <c:pt idx="1">
                  <c:v>0.16500000000000001</c:v>
                </c:pt>
                <c:pt idx="2">
                  <c:v>0.16500000000000001</c:v>
                </c:pt>
              </c:numCache>
            </c:numRef>
          </c:val>
        </c:ser>
        <c:ser>
          <c:idx val="1"/>
          <c:order val="1"/>
          <c:tx>
            <c:strRef>
              <c:f>oppsum!$G$31</c:f>
              <c:strCache>
                <c:ptCount val="1"/>
                <c:pt idx="0">
                  <c:v>Korttidsfravær</c:v>
                </c:pt>
              </c:strCache>
            </c:strRef>
          </c:tx>
          <c:invertIfNegative val="0"/>
          <c:cat>
            <c:strRef>
              <c:f>oppsum!$E$32:$E$34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oppsum!$G$32:$G$34</c:f>
              <c:numCache>
                <c:formatCode>0.0\ %</c:formatCode>
                <c:ptCount val="3"/>
                <c:pt idx="0">
                  <c:v>4.7E-2</c:v>
                </c:pt>
                <c:pt idx="1">
                  <c:v>4.7E-2</c:v>
                </c:pt>
                <c:pt idx="2">
                  <c:v>4.7E-2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5532008"/>
        <c:axId val="335532400"/>
      </c:barChart>
      <c:catAx>
        <c:axId val="335532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5532400"/>
        <c:crosses val="autoZero"/>
        <c:auto val="1"/>
        <c:lblAlgn val="ctr"/>
        <c:lblOffset val="100"/>
        <c:noMultiLvlLbl val="0"/>
      </c:catAx>
      <c:valAx>
        <c:axId val="335532400"/>
        <c:scaling>
          <c:orientation val="minMax"/>
          <c:min val="0"/>
        </c:scaling>
        <c:delete val="0"/>
        <c:axPos val="l"/>
        <c:majorGridlines/>
        <c:numFmt formatCode="0.0\ 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55320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 fjor'!#REF!</c:f>
          <c:strCache>
            <c:ptCount val="1"/>
            <c:pt idx="0">
              <c:v>Timer pr uke</c:v>
            </c:pt>
          </c:strCache>
        </c:strRef>
      </c:tx>
      <c:overlay val="1"/>
    </c:title>
    <c:autoTitleDeleted val="0"/>
    <c:plotArea>
      <c:layout>
        <c:manualLayout>
          <c:layoutTarget val="inner"/>
          <c:xMode val="edge"/>
          <c:yMode val="edge"/>
          <c:x val="0.12217675941080196"/>
          <c:y val="8.3070306176276254E-2"/>
          <c:w val="0.86282051282051286"/>
          <c:h val="0.57614831524176935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'I fjor'!#REF!</c:f>
              <c:numCache>
                <c:formatCode>0</c:formatCode>
                <c:ptCount val="5"/>
                <c:pt idx="0">
                  <c:v>666.25</c:v>
                </c:pt>
                <c:pt idx="1">
                  <c:v>1011.75</c:v>
                </c:pt>
                <c:pt idx="2">
                  <c:v>674.5</c:v>
                </c:pt>
                <c:pt idx="3">
                  <c:v>655.5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Etter plan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5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  <c:pt idx="4">
                        <c:v>Ny driftsmodell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'I fjor'!#REF!</c:f>
              <c:numCache>
                <c:formatCode>0</c:formatCode>
                <c:ptCount val="5"/>
                <c:pt idx="0">
                  <c:v>19.987500000000001</c:v>
                </c:pt>
                <c:pt idx="1">
                  <c:v>0</c:v>
                </c:pt>
                <c:pt idx="2">
                  <c:v>20.234999999999999</c:v>
                </c:pt>
                <c:pt idx="3">
                  <c:v>19.664999999999999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Innleie av vikarer  Ferie-avvikling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5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  <c:pt idx="4">
                        <c:v>Ny driftsmodell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invertIfNegative val="0"/>
          <c:val>
            <c:numRef>
              <c:f>'I fjor'!#REF!</c:f>
              <c:numCache>
                <c:formatCode>0</c:formatCode>
                <c:ptCount val="5"/>
                <c:pt idx="0">
                  <c:v>99.9375</c:v>
                </c:pt>
                <c:pt idx="1">
                  <c:v>20.234999999999999</c:v>
                </c:pt>
                <c:pt idx="2">
                  <c:v>80.94</c:v>
                </c:pt>
                <c:pt idx="3">
                  <c:v>65.55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Innleie av vikarer  Alll annen 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5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  <c:pt idx="4">
                        <c:v>Ny driftsmodell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invertIfNegative val="0"/>
          <c:val>
            <c:numRef>
              <c:f>'I fjor'!#REF!</c:f>
              <c:numCache>
                <c:formatCode>0</c:formatCode>
                <c:ptCount val="5"/>
                <c:pt idx="0">
                  <c:v>5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Overtid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5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  <c:pt idx="4">
                        <c:v>Ny driftsmodell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27923224"/>
        <c:axId val="331282808"/>
      </c:barChart>
      <c:catAx>
        <c:axId val="327923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1282808"/>
        <c:crosses val="autoZero"/>
        <c:auto val="1"/>
        <c:lblAlgn val="ctr"/>
        <c:lblOffset val="100"/>
        <c:noMultiLvlLbl val="0"/>
      </c:catAx>
      <c:valAx>
        <c:axId val="33128280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32792322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 fjor'!#REF!</c:f>
          <c:strCache>
            <c:ptCount val="1"/>
            <c:pt idx="0">
              <c:v>Årlige lønnsutgifter i tusen kroner</c:v>
            </c:pt>
          </c:strCache>
        </c:strRef>
      </c:tx>
      <c:overlay val="1"/>
    </c:title>
    <c:autoTitleDeleted val="0"/>
    <c:plotArea>
      <c:layout>
        <c:manualLayout>
          <c:layoutTarget val="inner"/>
          <c:xMode val="edge"/>
          <c:yMode val="edge"/>
          <c:x val="0.12217675941080196"/>
          <c:y val="0.10033900643520936"/>
          <c:w val="0.86282051282051286"/>
          <c:h val="0.62532184259195378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val>
            <c:numRef>
              <c:f>'I fjor'!#REF!</c:f>
              <c:numCache>
                <c:formatCode>0_)</c:formatCode>
                <c:ptCount val="5"/>
                <c:pt idx="0">
                  <c:v>10514.976476</c:v>
                </c:pt>
                <c:pt idx="1">
                  <c:v>15015.623476000001</c:v>
                </c:pt>
                <c:pt idx="2">
                  <c:v>10623.298476</c:v>
                </c:pt>
                <c:pt idx="3">
                  <c:v>10188.476846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Etter plan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4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</c:strCache>
                  </c: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'I fjor'!#REF!</c:f>
              <c:numCache>
                <c:formatCode>0_)</c:formatCode>
                <c:ptCount val="5"/>
                <c:pt idx="0">
                  <c:v>1414.84</c:v>
                </c:pt>
                <c:pt idx="1">
                  <c:v>263.57100000000003</c:v>
                </c:pt>
                <c:pt idx="2">
                  <c:v>1135.2950000000001</c:v>
                </c:pt>
                <c:pt idx="3">
                  <c:v>905.95400000000006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Innleie av vikarer  Ferie-avvikling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4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</c:strCache>
                  </c:strRef>
                </c15:cat>
              </c15:filteredCategoryTitle>
            </c:ext>
          </c:extLst>
        </c:ser>
        <c:ser>
          <c:idx val="2"/>
          <c:order val="2"/>
          <c:invertIfNegative val="0"/>
          <c:val>
            <c:numRef>
              <c:f>'I fjor'!#REF!</c:f>
              <c:numCache>
                <c:formatCode>0_)</c:formatCode>
                <c:ptCount val="5"/>
                <c:pt idx="0">
                  <c:v>282.96800000000002</c:v>
                </c:pt>
                <c:pt idx="1">
                  <c:v>0</c:v>
                </c:pt>
                <c:pt idx="2">
                  <c:v>282.96800000000002</c:v>
                </c:pt>
                <c:pt idx="3">
                  <c:v>271.55799999999999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Innleie av vikarer  Alll annen 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4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invertIfNegative val="0"/>
          <c:val>
            <c:numRef>
              <c:f>'I fjor'!#REF!</c:f>
              <c:numCache>
                <c:formatCode>0_)</c:formatCode>
                <c:ptCount val="5"/>
                <c:pt idx="0">
                  <c:v>100.408</c:v>
                </c:pt>
                <c:pt idx="1">
                  <c:v>0</c:v>
                </c:pt>
                <c:pt idx="2">
                  <c:v>38.793999999999997</c:v>
                </c:pt>
                <c:pt idx="3">
                  <c:v>38.793999999999997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1"/>
                      <c:pt idx="0">
                        <c:v>Overtid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'I fjor'!#REF!</c15:sqref>
                        </c15:formulaRef>
                      </c:ext>
                    </c:extLst>
                    <c:strCache>
                      <c:ptCount val="4"/>
                      <c:pt idx="0">
                        <c:v>I dag ut fra beregnet behov </c:v>
                      </c:pt>
                      <c:pt idx="1">
                        <c:v>Med bare hele stillinger og vakt 3. hver helg - alle utenom de det er angitt behov for i dag jobber på dag hverdager</c:v>
                      </c:pt>
                      <c:pt idx="2">
                        <c:v>Med bare hele stillinger og vakt 2. hver helg - alle utenom de det er angitt behov for i dag jobber på dag hverdager</c:v>
                      </c:pt>
                      <c:pt idx="3">
                        <c:v>Med bare hele stillinger og vakt 3. hver helg, vaktlengden helgedager øker til 12 timer alle utenom de det er angitt behov for i dag jobber på dag hverdager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1283984"/>
        <c:axId val="331284376"/>
      </c:barChart>
      <c:catAx>
        <c:axId val="3312839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1284376"/>
        <c:crosses val="autoZero"/>
        <c:auto val="1"/>
        <c:lblAlgn val="ctr"/>
        <c:lblOffset val="100"/>
        <c:noMultiLvlLbl val="0"/>
      </c:catAx>
      <c:valAx>
        <c:axId val="331284376"/>
        <c:scaling>
          <c:orientation val="minMax"/>
        </c:scaling>
        <c:delete val="0"/>
        <c:axPos val="l"/>
        <c:majorGridlines/>
        <c:numFmt formatCode="0_)" sourceLinked="1"/>
        <c:majorTickMark val="out"/>
        <c:minorTickMark val="none"/>
        <c:tickLblPos val="nextTo"/>
        <c:crossAx val="33128398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oppsum!$C$7:$H$7</c:f>
          <c:strCache>
            <c:ptCount val="6"/>
            <c:pt idx="0">
              <c:v>Antall årsverk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oppsum!$C$8</c:f>
              <c:strCache>
                <c:ptCount val="1"/>
                <c:pt idx="0">
                  <c:v>Bemanningsplan fratrukket ubesatte stillinger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oppsum!$C$9:$C$11</c:f>
              <c:numCache>
                <c:formatCode>0.0</c:formatCode>
                <c:ptCount val="3"/>
                <c:pt idx="0">
                  <c:v>14.999999999999998</c:v>
                </c:pt>
                <c:pt idx="1">
                  <c:v>14.999999999999998</c:v>
                </c:pt>
                <c:pt idx="2">
                  <c:v>14.999999999999998</c:v>
                </c:pt>
              </c:numCache>
            </c:numRef>
          </c:val>
        </c:ser>
        <c:ser>
          <c:idx val="1"/>
          <c:order val="1"/>
          <c:tx>
            <c:strRef>
              <c:f>oppsum!$D$8</c:f>
              <c:strCache>
                <c:ptCount val="1"/>
                <c:pt idx="0">
                  <c:v>Hull i turnus/ ikke besatte stillinger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oppsum!$D$9:$D$11</c:f>
              <c:numCache>
                <c:formatCode>0.0</c:formatCode>
                <c:ptCount val="3"/>
                <c:pt idx="0">
                  <c:v>0.72</c:v>
                </c:pt>
                <c:pt idx="1">
                  <c:v>0.72</c:v>
                </c:pt>
                <c:pt idx="2">
                  <c:v>0.72</c:v>
                </c:pt>
              </c:numCache>
            </c:numRef>
          </c:val>
        </c:ser>
        <c:ser>
          <c:idx val="2"/>
          <c:order val="2"/>
          <c:tx>
            <c:strRef>
              <c:f>oppsum!$E$8</c:f>
              <c:strCache>
                <c:ptCount val="1"/>
                <c:pt idx="0">
                  <c:v>Fast ansatte utover bemanningsplan (overbooking)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oppsum!$E$9:$E$11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oppsum!$F$8</c:f>
              <c:strCache>
                <c:ptCount val="1"/>
                <c:pt idx="0">
                  <c:v>Innleie av vikarer Ferie-avvikling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oppsum!$F$9:$F$11</c:f>
              <c:numCache>
                <c:formatCode>0.0</c:formatCode>
                <c:ptCount val="3"/>
                <c:pt idx="0">
                  <c:v>1.7291999999999998</c:v>
                </c:pt>
                <c:pt idx="1">
                  <c:v>1.7291999999999998</c:v>
                </c:pt>
                <c:pt idx="2">
                  <c:v>1.7291999999999998</c:v>
                </c:pt>
              </c:numCache>
            </c:numRef>
          </c:val>
        </c:ser>
        <c:ser>
          <c:idx val="4"/>
          <c:order val="4"/>
          <c:tx>
            <c:strRef>
              <c:f>oppsum!$G$8</c:f>
              <c:strCache>
                <c:ptCount val="1"/>
                <c:pt idx="0">
                  <c:v>Innleie av vikarer Annen bruk av vikarer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oppsum!$G$9:$G$11</c:f>
              <c:numCache>
                <c:formatCode>0.0</c:formatCode>
                <c:ptCount val="3"/>
                <c:pt idx="0">
                  <c:v>0.78599999999999992</c:v>
                </c:pt>
                <c:pt idx="1">
                  <c:v>0.78599999999999992</c:v>
                </c:pt>
                <c:pt idx="2">
                  <c:v>0.78599999999999992</c:v>
                </c:pt>
              </c:numCache>
            </c:numRef>
          </c:val>
        </c:ser>
        <c:ser>
          <c:idx val="5"/>
          <c:order val="5"/>
          <c:tx>
            <c:strRef>
              <c:f>oppsum!$H$8</c:f>
              <c:strCache>
                <c:ptCount val="1"/>
                <c:pt idx="0">
                  <c:v>Overtid</c:v>
                </c:pt>
              </c:strCache>
            </c:strRef>
          </c:tx>
          <c:invertIfNegative val="0"/>
          <c:cat>
            <c:strRef>
              <c:f>oppsum!$B$9:$B$11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oppsum!$H$9:$H$11</c:f>
              <c:numCache>
                <c:formatCode>0.0</c:formatCode>
                <c:ptCount val="3"/>
                <c:pt idx="0">
                  <c:v>0.88732394366197187</c:v>
                </c:pt>
                <c:pt idx="1">
                  <c:v>0.88732394366197187</c:v>
                </c:pt>
                <c:pt idx="2">
                  <c:v>0.88732394366197187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3786368"/>
        <c:axId val="333786760"/>
      </c:barChart>
      <c:catAx>
        <c:axId val="333786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3786760"/>
        <c:crosses val="autoZero"/>
        <c:auto val="1"/>
        <c:lblAlgn val="ctr"/>
        <c:lblOffset val="100"/>
        <c:noMultiLvlLbl val="0"/>
      </c:catAx>
      <c:valAx>
        <c:axId val="333786760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378636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oppsum!$C$25:$H$25</c:f>
          <c:strCache>
            <c:ptCount val="6"/>
            <c:pt idx="0">
              <c:v>Antall ansatte som fyller faglige kvalifikasjonskrav til stillingen/funksjonen de utfører (AUTORISERTE )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oppsum!$C$26</c:f>
              <c:strCache>
                <c:ptCount val="1"/>
                <c:pt idx="0">
                  <c:v>Fast ansatte Under 30 %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oppsum!$C$27:$C$29</c:f>
              <c:numCache>
                <c:formatCode>0%</c:formatCode>
                <c:ptCount val="3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</c:numCache>
            </c:numRef>
          </c:val>
        </c:ser>
        <c:ser>
          <c:idx val="1"/>
          <c:order val="1"/>
          <c:tx>
            <c:strRef>
              <c:f>oppsum!$D$26</c:f>
              <c:strCache>
                <c:ptCount val="1"/>
                <c:pt idx="0">
                  <c:v>Fast ansatte 30 til 50%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oppsum!$D$27:$D$29</c:f>
              <c:numCache>
                <c:formatCode>0%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ser>
          <c:idx val="2"/>
          <c:order val="2"/>
          <c:tx>
            <c:strRef>
              <c:f>oppsum!$E$26</c:f>
              <c:strCache>
                <c:ptCount val="1"/>
                <c:pt idx="0">
                  <c:v>Fast ansatte 50 til 80 %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oppsum!$E$27:$E$29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oppsum!$F$26</c:f>
              <c:strCache>
                <c:ptCount val="1"/>
                <c:pt idx="0">
                  <c:v>Fast ansatte Over 80 %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oppsum!$F$27:$F$29</c:f>
              <c:numCache>
                <c:formatCode>0%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ser>
          <c:idx val="4"/>
          <c:order val="4"/>
          <c:tx>
            <c:strRef>
              <c:f>oppsum!$G$26</c:f>
              <c:strCache>
                <c:ptCount val="1"/>
                <c:pt idx="0">
                  <c:v>Vikarer etc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oppsum!$G$27:$G$29</c:f>
              <c:numCache>
                <c:formatCode>0%</c:formatCode>
                <c:ptCount val="3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</c:numCache>
            </c:numRef>
          </c:val>
        </c:ser>
        <c:ser>
          <c:idx val="5"/>
          <c:order val="5"/>
          <c:tx>
            <c:strRef>
              <c:f>oppsum!$H$26</c:f>
              <c:strCache>
                <c:ptCount val="1"/>
                <c:pt idx="0">
                  <c:v>Alle</c:v>
                </c:pt>
              </c:strCache>
            </c:strRef>
          </c:tx>
          <c:invertIfNegative val="0"/>
          <c:cat>
            <c:strRef>
              <c:f>oppsum!$B$27:$B$29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oppsum!$H$27:$H$29</c:f>
              <c:numCache>
                <c:formatCode>0%</c:formatCode>
                <c:ptCount val="3"/>
                <c:pt idx="0">
                  <c:v>0.72413793103448276</c:v>
                </c:pt>
                <c:pt idx="1">
                  <c:v>0.72413793103448276</c:v>
                </c:pt>
                <c:pt idx="2">
                  <c:v>0.72413793103448276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3787936"/>
        <c:axId val="333788328"/>
      </c:barChart>
      <c:catAx>
        <c:axId val="333787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3788328"/>
        <c:crosses val="autoZero"/>
        <c:auto val="1"/>
        <c:lblAlgn val="ctr"/>
        <c:lblOffset val="100"/>
        <c:noMultiLvlLbl val="0"/>
      </c:catAx>
      <c:valAx>
        <c:axId val="33378832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37879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1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7.1956820782017636E-2"/>
          <c:y val="0.14814363033291914"/>
          <c:w val="0.91300044417524728"/>
          <c:h val="0.799411787783370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oppsum!$C$31</c:f>
              <c:strCache>
                <c:ptCount val="1"/>
                <c:pt idx="0">
                  <c:v>Gjennomsnittlig stilllingsstørrelse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oppsum!$B$32:$B$34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oppsum!$C$32:$C$34</c:f>
              <c:numCache>
                <c:formatCode>0%</c:formatCode>
                <c:ptCount val="3"/>
                <c:pt idx="0">
                  <c:v>0.74999999999999989</c:v>
                </c:pt>
                <c:pt idx="1">
                  <c:v>0.74999999999999989</c:v>
                </c:pt>
                <c:pt idx="2">
                  <c:v>0.74999999999999989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35086384"/>
        <c:axId val="335086776"/>
      </c:barChart>
      <c:catAx>
        <c:axId val="335086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5086776"/>
        <c:crosses val="autoZero"/>
        <c:auto val="1"/>
        <c:lblAlgn val="ctr"/>
        <c:lblOffset val="100"/>
        <c:noMultiLvlLbl val="0"/>
      </c:catAx>
      <c:valAx>
        <c:axId val="335086776"/>
        <c:scaling>
          <c:orientation val="minMax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5086384"/>
        <c:crosses val="autoZero"/>
        <c:crossBetween val="between"/>
      </c:valAx>
    </c:plotArea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oppsum!$C$19</c:f>
          <c:strCache>
            <c:ptCount val="1"/>
            <c:pt idx="0">
              <c:v>Antall personer som beboere/ brukere møter jevnlig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oppsum!$C$20</c:f>
              <c:strCache>
                <c:ptCount val="1"/>
                <c:pt idx="0">
                  <c:v>Fast ansatte Under 30 %</c:v>
                </c:pt>
              </c:strCache>
            </c:strRef>
          </c:tx>
          <c:invertIfNegative val="0"/>
          <c:cat>
            <c:strRef>
              <c:f>oppsum!$B$21:$B$23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oppsum!$C$21:$C$23</c:f>
              <c:numCache>
                <c:formatCode>0.0</c:formatCode>
                <c:ptCount val="3"/>
                <c:pt idx="0">
                  <c:v>4</c:v>
                </c:pt>
                <c:pt idx="1">
                  <c:v>4</c:v>
                </c:pt>
                <c:pt idx="2">
                  <c:v>4</c:v>
                </c:pt>
              </c:numCache>
            </c:numRef>
          </c:val>
        </c:ser>
        <c:ser>
          <c:idx val="1"/>
          <c:order val="1"/>
          <c:tx>
            <c:strRef>
              <c:f>oppsum!$D$20</c:f>
              <c:strCache>
                <c:ptCount val="1"/>
                <c:pt idx="0">
                  <c:v>Fast ansatte 30 til 50%</c:v>
                </c:pt>
              </c:strCache>
            </c:strRef>
          </c:tx>
          <c:invertIfNegative val="0"/>
          <c:cat>
            <c:strRef>
              <c:f>oppsum!$B$21:$B$23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oppsum!$D$21:$D$23</c:f>
              <c:numCache>
                <c:formatCode>0.0</c:formatCode>
                <c:ptCount val="3"/>
                <c:pt idx="0">
                  <c:v>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</c:ser>
        <c:ser>
          <c:idx val="2"/>
          <c:order val="2"/>
          <c:tx>
            <c:strRef>
              <c:f>oppsum!$E$20</c:f>
              <c:strCache>
                <c:ptCount val="1"/>
                <c:pt idx="0">
                  <c:v>Fast ansatte 50 til 80 %</c:v>
                </c:pt>
              </c:strCache>
            </c:strRef>
          </c:tx>
          <c:invertIfNegative val="0"/>
          <c:cat>
            <c:strRef>
              <c:f>oppsum!$B$21:$B$23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oppsum!$E$21:$E$23</c:f>
              <c:numCache>
                <c:formatCode>0.0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3"/>
          <c:order val="3"/>
          <c:tx>
            <c:strRef>
              <c:f>oppsum!$F$20</c:f>
              <c:strCache>
                <c:ptCount val="1"/>
                <c:pt idx="0">
                  <c:v>Fast ansatte Over 80 %</c:v>
                </c:pt>
              </c:strCache>
            </c:strRef>
          </c:tx>
          <c:invertIfNegative val="0"/>
          <c:cat>
            <c:strRef>
              <c:f>oppsum!$B$21:$B$23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oppsum!$F$21:$F$23</c:f>
              <c:numCache>
                <c:formatCode>0.0</c:formatCode>
                <c:ptCount val="3"/>
                <c:pt idx="0">
                  <c:v>14</c:v>
                </c:pt>
                <c:pt idx="1">
                  <c:v>14</c:v>
                </c:pt>
                <c:pt idx="2">
                  <c:v>14</c:v>
                </c:pt>
              </c:numCache>
            </c:numRef>
          </c:val>
        </c:ser>
        <c:ser>
          <c:idx val="4"/>
          <c:order val="4"/>
          <c:tx>
            <c:strRef>
              <c:f>oppsum!$G$20</c:f>
              <c:strCache>
                <c:ptCount val="1"/>
                <c:pt idx="0">
                  <c:v>Antall vikarer etc utover fast ansatte</c:v>
                </c:pt>
              </c:strCache>
            </c:strRef>
          </c:tx>
          <c:invertIfNegative val="0"/>
          <c:cat>
            <c:strRef>
              <c:f>oppsum!$B$21:$B$23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oppsum!$G$21:$G$23</c:f>
              <c:numCache>
                <c:formatCode>0.0</c:formatCode>
                <c:ptCount val="3"/>
                <c:pt idx="0">
                  <c:v>9</c:v>
                </c:pt>
                <c:pt idx="1">
                  <c:v>9</c:v>
                </c:pt>
                <c:pt idx="2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3789504"/>
        <c:axId val="333785976"/>
      </c:barChart>
      <c:catAx>
        <c:axId val="333789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3785976"/>
        <c:crosses val="autoZero"/>
        <c:auto val="1"/>
        <c:lblAlgn val="ctr"/>
        <c:lblOffset val="100"/>
        <c:noMultiLvlLbl val="0"/>
      </c:catAx>
      <c:valAx>
        <c:axId val="33378597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378950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oppsum!$C$36</c:f>
          <c:strCache>
            <c:ptCount val="1"/>
            <c:pt idx="0">
              <c:v>Lønnsutgifter fratrukket refusjon folketrygden (medregnet dagstillinger)+ utgifter til vikarbyrå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oppsum!$M$37</c:f>
              <c:strCache>
                <c:ptCount val="1"/>
                <c:pt idx="0">
                  <c:v>Grunn-lønn faste stillinger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oppsum!$M$38:$M$40</c:f>
              <c:numCache>
                <c:formatCode>0</c:formatCode>
                <c:ptCount val="3"/>
                <c:pt idx="0">
                  <c:v>7279</c:v>
                </c:pt>
                <c:pt idx="1">
                  <c:v>7279</c:v>
                </c:pt>
                <c:pt idx="2">
                  <c:v>7279</c:v>
                </c:pt>
              </c:numCache>
            </c:numRef>
          </c:val>
        </c:ser>
        <c:ser>
          <c:idx val="1"/>
          <c:order val="1"/>
          <c:tx>
            <c:strRef>
              <c:f>oppsum!$N$37</c:f>
              <c:strCache>
                <c:ptCount val="1"/>
                <c:pt idx="0">
                  <c:v>Innleie av vikarer (utover ref folketrygd og eks ferieavvikling )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oppsum!$N$38:$N$40</c:f>
              <c:numCache>
                <c:formatCode>0</c:formatCode>
                <c:ptCount val="3"/>
                <c:pt idx="0">
                  <c:v>437</c:v>
                </c:pt>
                <c:pt idx="1">
                  <c:v>437</c:v>
                </c:pt>
                <c:pt idx="2">
                  <c:v>437</c:v>
                </c:pt>
              </c:numCache>
            </c:numRef>
          </c:val>
        </c:ser>
        <c:ser>
          <c:idx val="2"/>
          <c:order val="2"/>
          <c:tx>
            <c:strRef>
              <c:f>oppsum!$O$37</c:f>
              <c:strCache>
                <c:ptCount val="1"/>
                <c:pt idx="0">
                  <c:v>Innleie av vikarer til ferie-avvik-ling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oppsum!$O$38:$O$40</c:f>
              <c:numCache>
                <c:formatCode>0</c:formatCode>
                <c:ptCount val="3"/>
                <c:pt idx="0">
                  <c:v>961</c:v>
                </c:pt>
                <c:pt idx="1">
                  <c:v>961</c:v>
                </c:pt>
                <c:pt idx="2">
                  <c:v>961</c:v>
                </c:pt>
              </c:numCache>
            </c:numRef>
          </c:val>
        </c:ser>
        <c:ser>
          <c:idx val="3"/>
          <c:order val="3"/>
          <c:tx>
            <c:strRef>
              <c:f>oppsum!$P$37</c:f>
              <c:strCache>
                <c:ptCount val="1"/>
                <c:pt idx="0">
                  <c:v>Overtid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oppsum!$P$38:$P$40</c:f>
              <c:numCache>
                <c:formatCode>0</c:formatCode>
                <c:ptCount val="3"/>
                <c:pt idx="0">
                  <c:v>701</c:v>
                </c:pt>
                <c:pt idx="1">
                  <c:v>701</c:v>
                </c:pt>
                <c:pt idx="2">
                  <c:v>701</c:v>
                </c:pt>
              </c:numCache>
            </c:numRef>
          </c:val>
        </c:ser>
        <c:ser>
          <c:idx val="4"/>
          <c:order val="4"/>
          <c:tx>
            <c:strRef>
              <c:f>oppsum!$Q$37</c:f>
              <c:strCache>
                <c:ptCount val="1"/>
                <c:pt idx="0">
                  <c:v>Tillegg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oppsum!$Q$38:$Q$40</c:f>
              <c:numCache>
                <c:formatCode>0</c:formatCode>
                <c:ptCount val="3"/>
                <c:pt idx="0">
                  <c:v>1274.7359999999999</c:v>
                </c:pt>
                <c:pt idx="1">
                  <c:v>1274.7359999999999</c:v>
                </c:pt>
                <c:pt idx="2">
                  <c:v>1274.7359999999999</c:v>
                </c:pt>
              </c:numCache>
            </c:numRef>
          </c:val>
        </c:ser>
        <c:ser>
          <c:idx val="5"/>
          <c:order val="5"/>
          <c:tx>
            <c:strRef>
              <c:f>oppsum!$R$37</c:f>
              <c:strCache>
                <c:ptCount val="1"/>
                <c:pt idx="0">
                  <c:v>Pensjonspremie og arbeidsgiveravgift</c:v>
                </c:pt>
              </c:strCache>
            </c:strRef>
          </c:tx>
          <c:invertIfNegative val="0"/>
          <c:cat>
            <c:strRef>
              <c:f>oppsum!$B$38:$B$40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oppsum!$R$38:$R$40</c:f>
              <c:numCache>
                <c:formatCode>0</c:formatCode>
                <c:ptCount val="3"/>
                <c:pt idx="0">
                  <c:v>3133.3526195200002</c:v>
                </c:pt>
                <c:pt idx="1">
                  <c:v>3133.3526195200002</c:v>
                </c:pt>
                <c:pt idx="2">
                  <c:v>3133.3526195200002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5088344"/>
        <c:axId val="335088736"/>
      </c:barChart>
      <c:catAx>
        <c:axId val="335088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5088736"/>
        <c:crosses val="autoZero"/>
        <c:auto val="1"/>
        <c:lblAlgn val="ctr"/>
        <c:lblOffset val="100"/>
        <c:noMultiLvlLbl val="0"/>
      </c:catAx>
      <c:valAx>
        <c:axId val="3350887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508834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oppsum!$C$42</c:f>
          <c:strCache>
            <c:ptCount val="1"/>
            <c:pt idx="0">
              <c:v>Hvor mye brukes til å ringe etter vikarer, personalarbeid etc. Lønnsutgifter inkl arb avgift og pensjon</c:v>
            </c:pt>
          </c:strCache>
        </c:strRef>
      </c:tx>
      <c:overlay val="0"/>
      <c:txPr>
        <a:bodyPr/>
        <a:lstStyle/>
        <a:p>
          <a:pPr>
            <a:defRPr sz="2400"/>
          </a:pPr>
          <a:endParaRPr lang="nb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oppsum!$C$43</c:f>
              <c:strCache>
                <c:ptCount val="1"/>
                <c:pt idx="0">
                  <c:v>Fylle bemanningsplan (ringe, sende SMS etc)</c:v>
                </c:pt>
              </c:strCache>
            </c:strRef>
          </c:tx>
          <c:invertIfNegative val="0"/>
          <c:cat>
            <c:strRef>
              <c:f>oppsum!$B$44:$B$46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oppsum!$C$44:$C$46</c:f>
              <c:numCache>
                <c:formatCode>0</c:formatCode>
                <c:ptCount val="3"/>
                <c:pt idx="0">
                  <c:v>307.99695652173921</c:v>
                </c:pt>
                <c:pt idx="1">
                  <c:v>307.99695652173921</c:v>
                </c:pt>
                <c:pt idx="2">
                  <c:v>307.99695652173921</c:v>
                </c:pt>
              </c:numCache>
            </c:numRef>
          </c:val>
        </c:ser>
        <c:ser>
          <c:idx val="1"/>
          <c:order val="1"/>
          <c:tx>
            <c:strRef>
              <c:f>oppsum!$D$43</c:f>
              <c:strCache>
                <c:ptCount val="1"/>
                <c:pt idx="0">
                  <c:v>Tidsbruk ansatte har avsatt i turnusplanen til turnusoppsett etc</c:v>
                </c:pt>
              </c:strCache>
            </c:strRef>
          </c:tx>
          <c:invertIfNegative val="0"/>
          <c:cat>
            <c:strRef>
              <c:f>oppsum!$B$44:$B$46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oppsum!$D$44:$D$46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tx>
            <c:strRef>
              <c:f>oppsum!$E$43</c:f>
              <c:strCache>
                <c:ptCount val="1"/>
                <c:pt idx="0">
                  <c:v>Personal- og ledelsesarbeid ansatte</c:v>
                </c:pt>
              </c:strCache>
            </c:strRef>
          </c:tx>
          <c:invertIfNegative val="0"/>
          <c:cat>
            <c:strRef>
              <c:f>oppsum!$B$44:$B$46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oppsum!$E$44:$E$46</c:f>
              <c:numCache>
                <c:formatCode>0</c:formatCode>
                <c:ptCount val="3"/>
                <c:pt idx="0">
                  <c:v>331.65894492753631</c:v>
                </c:pt>
                <c:pt idx="1">
                  <c:v>331.65894492753631</c:v>
                </c:pt>
                <c:pt idx="2">
                  <c:v>331.65894492753631</c:v>
                </c:pt>
              </c:numCache>
            </c:numRef>
          </c:val>
        </c:ser>
        <c:ser>
          <c:idx val="3"/>
          <c:order val="3"/>
          <c:tx>
            <c:strRef>
              <c:f>oppsum!$F$43</c:f>
              <c:strCache>
                <c:ptCount val="1"/>
                <c:pt idx="0">
                  <c:v>Personal- og ledelsesarbeid nytilsettinger</c:v>
                </c:pt>
              </c:strCache>
            </c:strRef>
          </c:tx>
          <c:invertIfNegative val="0"/>
          <c:cat>
            <c:strRef>
              <c:f>oppsum!$B$44:$B$46</c:f>
              <c:strCache>
                <c:ptCount val="3"/>
                <c:pt idx="0">
                  <c:v>Hvordan gjorde vi det i fjor</c:v>
                </c:pt>
                <c:pt idx="1">
                  <c:v>Hvordan planlegger vi i år</c:v>
                </c:pt>
                <c:pt idx="2">
                  <c:v>Alternativ løsning i år</c:v>
                </c:pt>
              </c:strCache>
            </c:strRef>
          </c:cat>
          <c:val>
            <c:numRef>
              <c:f>oppsum!$F$44:$F$46</c:f>
              <c:numCache>
                <c:formatCode>0</c:formatCode>
                <c:ptCount val="3"/>
                <c:pt idx="0">
                  <c:v>78.221449275362332</c:v>
                </c:pt>
                <c:pt idx="1">
                  <c:v>78.221449275362332</c:v>
                </c:pt>
                <c:pt idx="2">
                  <c:v>78.221449275362332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35089912"/>
        <c:axId val="331286336"/>
      </c:barChart>
      <c:catAx>
        <c:axId val="335089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31286336"/>
        <c:crosses val="autoZero"/>
        <c:auto val="1"/>
        <c:lblAlgn val="ctr"/>
        <c:lblOffset val="100"/>
        <c:noMultiLvlLbl val="0"/>
      </c:catAx>
      <c:valAx>
        <c:axId val="3312863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nb-NO"/>
          </a:p>
        </c:txPr>
        <c:crossAx val="33508991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400"/>
            </a:pPr>
            <a:endParaRPr lang="nb-NO"/>
          </a:p>
        </c:txPr>
      </c:dTable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5234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5234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5234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5234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57900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P53"/>
  <sheetViews>
    <sheetView showGridLines="0" tabSelected="1" topLeftCell="A19" zoomScale="112" zoomScaleNormal="112" workbookViewId="0">
      <selection activeCell="G24" sqref="G24"/>
    </sheetView>
  </sheetViews>
  <sheetFormatPr baseColWidth="10" defaultRowHeight="12.75"/>
  <cols>
    <col min="1" max="1" width="7.28515625" style="221" customWidth="1"/>
    <col min="2" max="2" width="7.5703125" style="221" customWidth="1"/>
    <col min="3" max="3" width="7.28515625" style="221" customWidth="1"/>
    <col min="4" max="4" width="6" style="221" customWidth="1"/>
    <col min="5" max="5" width="7.42578125" style="221" customWidth="1"/>
    <col min="6" max="6" width="6.85546875" style="221" customWidth="1"/>
    <col min="7" max="7" width="6.5703125" style="221" customWidth="1"/>
    <col min="8" max="8" width="5.7109375" style="221" customWidth="1"/>
    <col min="9" max="9" width="8.28515625" style="221" customWidth="1"/>
    <col min="10" max="10" width="6.42578125" style="221" customWidth="1"/>
    <col min="11" max="11" width="6.7109375" style="221" customWidth="1"/>
    <col min="12" max="12" width="7" style="221" customWidth="1"/>
    <col min="13" max="13" width="7.5703125" style="221" customWidth="1"/>
    <col min="14" max="14" width="6.42578125" style="221" customWidth="1"/>
    <col min="15" max="15" width="7.7109375" style="221" customWidth="1"/>
    <col min="16" max="16" width="7" style="221" customWidth="1"/>
    <col min="17" max="17" width="7.7109375" style="221" customWidth="1"/>
    <col min="18" max="18" width="9.7109375" style="221" customWidth="1"/>
    <col min="19" max="19" width="6.28515625" style="221" customWidth="1"/>
    <col min="20" max="20" width="6.42578125" style="221" customWidth="1"/>
    <col min="21" max="21" width="8.7109375" style="221" customWidth="1"/>
    <col min="22" max="22" width="8" style="221" customWidth="1"/>
    <col min="23" max="23" width="11" style="221" customWidth="1"/>
    <col min="24" max="24" width="7" style="221" customWidth="1"/>
    <col min="25" max="25" width="10.5703125" style="221" customWidth="1"/>
    <col min="26" max="26" width="8.5703125" style="221" customWidth="1"/>
    <col min="27" max="27" width="11.42578125" style="221" customWidth="1"/>
    <col min="28" max="29" width="8.5703125" style="221" hidden="1" customWidth="1"/>
    <col min="30" max="87" width="11.42578125" style="221" hidden="1" customWidth="1"/>
    <col min="88" max="91" width="0" style="221" hidden="1" customWidth="1"/>
    <col min="92" max="16384" width="11.42578125" style="221"/>
  </cols>
  <sheetData>
    <row r="1" spans="1:92" ht="26.25">
      <c r="A1" s="766" t="s">
        <v>224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  <c r="V1" s="767"/>
      <c r="W1" s="767"/>
      <c r="X1" s="767"/>
      <c r="Y1" s="767"/>
      <c r="Z1" s="767"/>
      <c r="AA1" s="768"/>
      <c r="CM1" s="761" t="s">
        <v>218</v>
      </c>
      <c r="CN1" s="761"/>
    </row>
    <row r="2" spans="1:92">
      <c r="A2" s="302"/>
      <c r="B2" s="658" t="s">
        <v>254</v>
      </c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59"/>
      <c r="U2" s="659"/>
      <c r="V2" s="659"/>
      <c r="W2" s="659"/>
      <c r="X2" s="659"/>
      <c r="Y2" s="659"/>
      <c r="Z2" s="659"/>
      <c r="AA2" s="660"/>
      <c r="AB2" s="222">
        <v>0.70833333333333337</v>
      </c>
      <c r="AC2" s="223"/>
      <c r="AD2" s="224">
        <v>1</v>
      </c>
      <c r="AE2" s="222">
        <v>0.70833333333333337</v>
      </c>
      <c r="AF2" s="223"/>
      <c r="AG2" s="225">
        <f>AD2</f>
        <v>1</v>
      </c>
      <c r="CB2" s="770" t="s">
        <v>148</v>
      </c>
      <c r="CK2" s="221" t="s">
        <v>221</v>
      </c>
      <c r="CM2" s="761"/>
      <c r="CN2" s="761"/>
    </row>
    <row r="3" spans="1:92">
      <c r="A3" s="303"/>
      <c r="B3" s="646" t="s">
        <v>269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04"/>
      <c r="O3" s="604"/>
      <c r="P3" s="762" t="s">
        <v>270</v>
      </c>
      <c r="Q3" s="763"/>
      <c r="R3" s="604" t="s">
        <v>271</v>
      </c>
      <c r="S3" s="604"/>
      <c r="T3" s="604"/>
      <c r="U3" s="604"/>
      <c r="V3" s="604"/>
      <c r="W3" s="604"/>
      <c r="X3" s="604"/>
      <c r="Y3" s="604"/>
      <c r="Z3" s="604"/>
      <c r="AA3" s="605"/>
      <c r="AB3" s="226">
        <f>Z18-AB2</f>
        <v>0.21875</v>
      </c>
      <c r="AC3" s="227"/>
      <c r="AD3" s="228">
        <f>AD2-M18</f>
        <v>8.333333333333337E-2</v>
      </c>
      <c r="AE3" s="226">
        <f>Z19-AE2</f>
        <v>0.21875</v>
      </c>
      <c r="AF3" s="227"/>
      <c r="AG3" s="229">
        <f>AG2-M19</f>
        <v>8.333333333333337E-2</v>
      </c>
      <c r="CB3" s="771"/>
      <c r="CK3" s="221" t="s">
        <v>222</v>
      </c>
      <c r="CM3" s="761"/>
      <c r="CN3" s="761"/>
    </row>
    <row r="4" spans="1:92">
      <c r="A4" s="713" t="s">
        <v>196</v>
      </c>
      <c r="B4" s="714"/>
      <c r="C4" s="714"/>
      <c r="D4" s="714"/>
      <c r="E4" s="714"/>
      <c r="F4" s="714"/>
      <c r="G4" s="714"/>
      <c r="H4" s="714"/>
      <c r="I4" s="714"/>
      <c r="J4" s="714"/>
      <c r="K4" s="714"/>
      <c r="L4" s="714"/>
      <c r="M4" s="714"/>
      <c r="N4" s="714"/>
      <c r="O4" s="714"/>
      <c r="P4" s="714"/>
      <c r="Q4" s="714"/>
      <c r="R4" s="714"/>
      <c r="S4" s="714"/>
      <c r="T4" s="714"/>
      <c r="U4" s="714"/>
      <c r="V4" s="714"/>
      <c r="W4" s="714"/>
      <c r="X4" s="714"/>
      <c r="Y4" s="714"/>
      <c r="Z4" s="714"/>
      <c r="AA4" s="715"/>
      <c r="AB4" s="230"/>
      <c r="AC4" s="231"/>
      <c r="AD4" s="232"/>
      <c r="AE4" s="230"/>
      <c r="AF4" s="231"/>
      <c r="AG4" s="232"/>
      <c r="CB4" s="233"/>
      <c r="CK4" s="221" t="s">
        <v>223</v>
      </c>
      <c r="CM4" s="761"/>
      <c r="CN4" s="761"/>
    </row>
    <row r="5" spans="1:92">
      <c r="A5" s="304"/>
      <c r="B5" s="305" t="s">
        <v>195</v>
      </c>
      <c r="C5" s="622" t="s">
        <v>293</v>
      </c>
      <c r="D5" s="623"/>
      <c r="E5" s="623"/>
      <c r="F5" s="623"/>
      <c r="G5" s="623"/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4"/>
      <c r="AB5" s="230"/>
      <c r="AC5" s="231"/>
      <c r="AD5" s="232"/>
      <c r="AE5" s="230"/>
      <c r="AF5" s="231"/>
      <c r="AG5" s="232"/>
      <c r="CB5" s="233"/>
      <c r="CM5" s="761"/>
      <c r="CN5" s="761"/>
    </row>
    <row r="6" spans="1:92">
      <c r="A6" s="304"/>
      <c r="B6" s="305" t="s">
        <v>197</v>
      </c>
      <c r="C6" s="622" t="s">
        <v>278</v>
      </c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4"/>
      <c r="AB6" s="230"/>
      <c r="AC6" s="231"/>
      <c r="AD6" s="232"/>
      <c r="AE6" s="230"/>
      <c r="AF6" s="231"/>
      <c r="AG6" s="232"/>
      <c r="CB6" s="233"/>
    </row>
    <row r="7" spans="1:92" ht="36.75" customHeight="1">
      <c r="A7" s="304"/>
      <c r="B7" s="305" t="s">
        <v>198</v>
      </c>
      <c r="C7" s="736" t="s">
        <v>288</v>
      </c>
      <c r="D7" s="737"/>
      <c r="E7" s="737"/>
      <c r="F7" s="737"/>
      <c r="G7" s="737"/>
      <c r="H7" s="737"/>
      <c r="I7" s="737"/>
      <c r="J7" s="737"/>
      <c r="K7" s="737"/>
      <c r="L7" s="737"/>
      <c r="M7" s="737"/>
      <c r="N7" s="737"/>
      <c r="O7" s="737"/>
      <c r="P7" s="737"/>
      <c r="Q7" s="737"/>
      <c r="R7" s="737"/>
      <c r="S7" s="737"/>
      <c r="T7" s="737"/>
      <c r="U7" s="737"/>
      <c r="V7" s="737"/>
      <c r="W7" s="737"/>
      <c r="X7" s="737"/>
      <c r="Y7" s="737"/>
      <c r="Z7" s="737"/>
      <c r="AA7" s="738"/>
      <c r="AB7" s="230"/>
      <c r="AC7" s="231"/>
      <c r="AD7" s="232"/>
      <c r="AE7" s="230"/>
      <c r="AF7" s="231"/>
      <c r="AG7" s="232"/>
      <c r="CB7" s="233"/>
    </row>
    <row r="8" spans="1:92">
      <c r="A8" s="304"/>
      <c r="B8" s="305" t="s">
        <v>199</v>
      </c>
      <c r="C8" s="622" t="s">
        <v>289</v>
      </c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623"/>
      <c r="P8" s="623"/>
      <c r="Q8" s="623"/>
      <c r="R8" s="623"/>
      <c r="S8" s="623"/>
      <c r="T8" s="623"/>
      <c r="U8" s="623"/>
      <c r="V8" s="623"/>
      <c r="W8" s="623"/>
      <c r="X8" s="623"/>
      <c r="Y8" s="623"/>
      <c r="Z8" s="623"/>
      <c r="AA8" s="624"/>
      <c r="AB8" s="230"/>
      <c r="AC8" s="231"/>
      <c r="AD8" s="232"/>
      <c r="AE8" s="230"/>
      <c r="AF8" s="231"/>
      <c r="AG8" s="232"/>
      <c r="CB8" s="233"/>
    </row>
    <row r="9" spans="1:92">
      <c r="A9" s="304"/>
      <c r="B9" s="305" t="s">
        <v>200</v>
      </c>
      <c r="C9" s="736" t="s">
        <v>255</v>
      </c>
      <c r="D9" s="737"/>
      <c r="E9" s="737"/>
      <c r="F9" s="737"/>
      <c r="G9" s="737"/>
      <c r="H9" s="737"/>
      <c r="I9" s="737"/>
      <c r="J9" s="737"/>
      <c r="K9" s="737"/>
      <c r="L9" s="737"/>
      <c r="M9" s="737"/>
      <c r="N9" s="737"/>
      <c r="O9" s="737"/>
      <c r="P9" s="737"/>
      <c r="Q9" s="737"/>
      <c r="R9" s="737"/>
      <c r="S9" s="737"/>
      <c r="T9" s="737"/>
      <c r="U9" s="737"/>
      <c r="V9" s="737"/>
      <c r="W9" s="737"/>
      <c r="X9" s="737"/>
      <c r="Y9" s="737"/>
      <c r="Z9" s="737"/>
      <c r="AA9" s="738"/>
      <c r="AB9" s="230"/>
      <c r="AC9" s="231"/>
      <c r="AD9" s="232"/>
      <c r="AE9" s="230"/>
      <c r="AF9" s="231"/>
      <c r="AG9" s="232"/>
      <c r="CB9" s="233"/>
    </row>
    <row r="10" spans="1:92">
      <c r="A10" s="304"/>
      <c r="B10" s="305" t="s">
        <v>201</v>
      </c>
      <c r="C10" s="736" t="s">
        <v>273</v>
      </c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  <c r="O10" s="737"/>
      <c r="P10" s="737"/>
      <c r="Q10" s="737"/>
      <c r="R10" s="737"/>
      <c r="S10" s="737"/>
      <c r="T10" s="737"/>
      <c r="U10" s="737"/>
      <c r="V10" s="737"/>
      <c r="W10" s="737"/>
      <c r="X10" s="737"/>
      <c r="Y10" s="737"/>
      <c r="Z10" s="737"/>
      <c r="AA10" s="738"/>
      <c r="AB10" s="230"/>
      <c r="AC10" s="231"/>
      <c r="AD10" s="232"/>
      <c r="AE10" s="230"/>
      <c r="AF10" s="231"/>
      <c r="AG10" s="232"/>
      <c r="CB10" s="233"/>
    </row>
    <row r="11" spans="1:92" ht="16.5" customHeight="1">
      <c r="A11" s="304"/>
      <c r="B11" s="305" t="s">
        <v>206</v>
      </c>
      <c r="C11" s="736" t="s">
        <v>294</v>
      </c>
      <c r="D11" s="737"/>
      <c r="E11" s="737"/>
      <c r="F11" s="737"/>
      <c r="G11" s="737"/>
      <c r="H11" s="737"/>
      <c r="I11" s="737"/>
      <c r="J11" s="737"/>
      <c r="K11" s="737"/>
      <c r="L11" s="737"/>
      <c r="M11" s="737"/>
      <c r="N11" s="737"/>
      <c r="O11" s="737"/>
      <c r="P11" s="737"/>
      <c r="Q11" s="737"/>
      <c r="R11" s="737"/>
      <c r="S11" s="737"/>
      <c r="T11" s="737"/>
      <c r="U11" s="737"/>
      <c r="V11" s="737"/>
      <c r="W11" s="737"/>
      <c r="X11" s="737"/>
      <c r="Y11" s="737"/>
      <c r="Z11" s="737"/>
      <c r="AA11" s="738"/>
      <c r="AB11" s="230"/>
      <c r="AC11" s="231"/>
      <c r="AD11" s="232"/>
      <c r="AE11" s="230"/>
      <c r="AF11" s="231"/>
      <c r="AG11" s="232"/>
      <c r="CB11" s="233"/>
    </row>
    <row r="12" spans="1:92" ht="15.75" customHeight="1">
      <c r="A12" s="304"/>
      <c r="B12" s="305" t="s">
        <v>203</v>
      </c>
      <c r="C12" s="736" t="s">
        <v>274</v>
      </c>
      <c r="D12" s="737"/>
      <c r="E12" s="737"/>
      <c r="F12" s="737"/>
      <c r="G12" s="737"/>
      <c r="H12" s="737"/>
      <c r="I12" s="737"/>
      <c r="J12" s="737"/>
      <c r="K12" s="737"/>
      <c r="L12" s="737"/>
      <c r="M12" s="737"/>
      <c r="N12" s="737"/>
      <c r="O12" s="737"/>
      <c r="P12" s="737"/>
      <c r="Q12" s="737"/>
      <c r="R12" s="737"/>
      <c r="S12" s="737"/>
      <c r="T12" s="737"/>
      <c r="U12" s="737"/>
      <c r="V12" s="737"/>
      <c r="W12" s="737"/>
      <c r="X12" s="737"/>
      <c r="Y12" s="737"/>
      <c r="Z12" s="737"/>
      <c r="AA12" s="738"/>
      <c r="AB12" s="230"/>
      <c r="AC12" s="231"/>
      <c r="AD12" s="232"/>
      <c r="AE12" s="230"/>
      <c r="AF12" s="231"/>
      <c r="AG12" s="232"/>
      <c r="CB12" s="233"/>
    </row>
    <row r="13" spans="1:92" ht="27" customHeight="1">
      <c r="A13" s="304"/>
      <c r="B13" s="305" t="s">
        <v>207</v>
      </c>
      <c r="C13" s="736" t="s">
        <v>275</v>
      </c>
      <c r="D13" s="737"/>
      <c r="E13" s="737"/>
      <c r="F13" s="737"/>
      <c r="G13" s="737"/>
      <c r="H13" s="737"/>
      <c r="I13" s="737"/>
      <c r="J13" s="737"/>
      <c r="K13" s="737"/>
      <c r="L13" s="737"/>
      <c r="M13" s="737"/>
      <c r="N13" s="737"/>
      <c r="O13" s="737"/>
      <c r="P13" s="737"/>
      <c r="Q13" s="737"/>
      <c r="R13" s="737"/>
      <c r="S13" s="737"/>
      <c r="T13" s="737"/>
      <c r="U13" s="737"/>
      <c r="V13" s="737"/>
      <c r="W13" s="737"/>
      <c r="X13" s="737"/>
      <c r="Y13" s="737"/>
      <c r="Z13" s="737"/>
      <c r="AA13" s="738"/>
      <c r="AB13" s="230"/>
      <c r="AD13" s="232"/>
      <c r="AE13" s="230"/>
      <c r="AF13" s="231"/>
      <c r="AG13" s="232"/>
      <c r="CB13" s="233"/>
      <c r="CM13" s="297"/>
    </row>
    <row r="14" spans="1:92" ht="15" hidden="1" customHeight="1">
      <c r="A14" s="304"/>
      <c r="B14" s="306"/>
      <c r="C14" s="307"/>
      <c r="D14" s="307"/>
      <c r="E14" s="307"/>
      <c r="F14" s="307"/>
      <c r="G14" s="307"/>
      <c r="H14" s="307"/>
      <c r="I14" s="307"/>
      <c r="J14" s="307"/>
      <c r="K14" s="307"/>
      <c r="L14" s="307"/>
      <c r="M14" s="308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8"/>
      <c r="AA14" s="307"/>
      <c r="AB14" s="230"/>
      <c r="AC14" s="231"/>
      <c r="AD14" s="232"/>
      <c r="AE14" s="230"/>
      <c r="AF14" s="231"/>
      <c r="AG14" s="232"/>
      <c r="CB14" s="233"/>
    </row>
    <row r="15" spans="1:92">
      <c r="A15" s="309"/>
      <c r="B15" s="310" t="s">
        <v>137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1">
        <v>0.106</v>
      </c>
      <c r="N15" s="310"/>
      <c r="O15" s="310" t="s">
        <v>236</v>
      </c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1">
        <v>0</v>
      </c>
      <c r="AA15" s="310"/>
    </row>
    <row r="16" spans="1:92">
      <c r="A16" s="310"/>
      <c r="B16" s="310" t="s">
        <v>297</v>
      </c>
      <c r="C16" s="310"/>
      <c r="D16" s="310"/>
      <c r="E16" s="310"/>
      <c r="F16" s="310"/>
      <c r="G16" s="310"/>
      <c r="H16" s="310"/>
      <c r="I16" s="310"/>
      <c r="J16" s="310"/>
      <c r="K16" s="310"/>
      <c r="L16" s="310"/>
      <c r="M16" s="311">
        <v>0.22</v>
      </c>
      <c r="N16" s="310"/>
      <c r="O16" s="310" t="s">
        <v>138</v>
      </c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1">
        <v>0</v>
      </c>
      <c r="AA16" s="310"/>
    </row>
    <row r="17" spans="1:169">
      <c r="A17" s="310"/>
      <c r="B17" s="310"/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2"/>
      <c r="N17" s="310"/>
      <c r="O17" s="310" t="s">
        <v>141</v>
      </c>
      <c r="P17" s="310"/>
      <c r="Q17" s="310"/>
      <c r="R17" s="310"/>
      <c r="S17" s="310"/>
      <c r="T17" s="310"/>
      <c r="U17" s="310"/>
      <c r="V17" s="310"/>
      <c r="W17" s="313"/>
      <c r="X17" s="313"/>
      <c r="Y17" s="313"/>
      <c r="Z17" s="311">
        <v>0</v>
      </c>
      <c r="AA17" s="310"/>
    </row>
    <row r="18" spans="1:169">
      <c r="A18" s="310"/>
      <c r="B18" s="310" t="s">
        <v>146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4">
        <v>0.91666666666666663</v>
      </c>
      <c r="N18" s="310"/>
      <c r="O18" s="310" t="s">
        <v>208</v>
      </c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5">
        <v>0.92708333333333337</v>
      </c>
      <c r="AA18" s="310"/>
      <c r="BB18" s="221" t="s">
        <v>136</v>
      </c>
    </row>
    <row r="19" spans="1:169" s="231" customFormat="1">
      <c r="A19" s="312"/>
      <c r="B19" s="312" t="s">
        <v>147</v>
      </c>
      <c r="C19" s="312"/>
      <c r="D19" s="312"/>
      <c r="E19" s="312"/>
      <c r="F19" s="312"/>
      <c r="G19" s="312"/>
      <c r="H19" s="312"/>
      <c r="I19" s="312"/>
      <c r="J19" s="312"/>
      <c r="K19" s="312"/>
      <c r="L19" s="312"/>
      <c r="M19" s="314">
        <f>M18</f>
        <v>0.91666666666666663</v>
      </c>
      <c r="N19" s="312"/>
      <c r="O19" s="312" t="s">
        <v>209</v>
      </c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5">
        <v>0.92708333333333337</v>
      </c>
      <c r="AA19" s="312"/>
    </row>
    <row r="20" spans="1:169">
      <c r="A20" s="764"/>
      <c r="B20" s="735"/>
      <c r="C20" s="735"/>
      <c r="D20" s="735"/>
      <c r="E20" s="735"/>
      <c r="F20" s="735"/>
      <c r="G20" s="735"/>
      <c r="H20" s="735"/>
      <c r="I20" s="735"/>
      <c r="J20" s="735"/>
      <c r="K20" s="735"/>
      <c r="L20" s="735"/>
      <c r="M20" s="735"/>
      <c r="N20" s="735"/>
      <c r="O20" s="735"/>
      <c r="P20" s="735"/>
      <c r="Q20" s="735"/>
      <c r="R20" s="735"/>
      <c r="S20" s="735"/>
      <c r="T20" s="735"/>
      <c r="U20" s="735"/>
      <c r="V20" s="735"/>
      <c r="W20" s="735"/>
      <c r="X20" s="735"/>
      <c r="Y20" s="735"/>
      <c r="Z20" s="735"/>
      <c r="AA20" s="765"/>
    </row>
    <row r="21" spans="1:169" s="238" customFormat="1" ht="25.5" customHeight="1">
      <c r="A21" s="316"/>
      <c r="B21" s="733" t="s">
        <v>225</v>
      </c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678"/>
      <c r="R21" s="748" t="s">
        <v>277</v>
      </c>
      <c r="S21" s="676" t="s">
        <v>232</v>
      </c>
      <c r="T21" s="709"/>
      <c r="U21" s="742" t="s">
        <v>143</v>
      </c>
      <c r="V21" s="743"/>
      <c r="W21" s="748" t="s">
        <v>241</v>
      </c>
      <c r="X21" s="748" t="s">
        <v>242</v>
      </c>
      <c r="Y21" s="748" t="s">
        <v>233</v>
      </c>
      <c r="Z21" s="748" t="s">
        <v>234</v>
      </c>
      <c r="AA21" s="748" t="s">
        <v>204</v>
      </c>
      <c r="AB21" s="234" t="s">
        <v>210</v>
      </c>
      <c r="AC21" s="235"/>
      <c r="AD21" s="235"/>
      <c r="AE21" s="235"/>
      <c r="AF21" s="235"/>
      <c r="AG21" s="235"/>
      <c r="AH21" s="235"/>
      <c r="AI21" s="236" t="s">
        <v>30</v>
      </c>
      <c r="AJ21" s="237"/>
      <c r="AK21" s="237"/>
      <c r="AL21" s="237"/>
      <c r="AM21" s="235"/>
      <c r="AN21" s="235"/>
      <c r="AO21" s="235"/>
      <c r="AP21" s="235"/>
      <c r="AQ21" s="235"/>
      <c r="AR21" s="235"/>
      <c r="AS21" s="235"/>
      <c r="AT21" s="235"/>
      <c r="AU21" s="235"/>
      <c r="AW21" s="236" t="s">
        <v>31</v>
      </c>
      <c r="AX21" s="235"/>
      <c r="AY21" s="235"/>
      <c r="AZ21" s="235"/>
      <c r="BA21" s="239"/>
      <c r="BB21" s="239">
        <v>45</v>
      </c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6" t="s">
        <v>32</v>
      </c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40" t="s">
        <v>126</v>
      </c>
      <c r="BY21" s="241">
        <v>1.33</v>
      </c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</row>
    <row r="22" spans="1:169" s="238" customFormat="1" ht="15.75">
      <c r="A22" s="317"/>
      <c r="B22" s="751" t="s">
        <v>18</v>
      </c>
      <c r="C22" s="752"/>
      <c r="D22" s="752"/>
      <c r="E22" s="752"/>
      <c r="F22" s="752"/>
      <c r="G22" s="752"/>
      <c r="H22" s="752"/>
      <c r="I22" s="753"/>
      <c r="J22" s="751" t="s">
        <v>211</v>
      </c>
      <c r="K22" s="752"/>
      <c r="L22" s="752"/>
      <c r="M22" s="752"/>
      <c r="N22" s="752"/>
      <c r="O22" s="752"/>
      <c r="P22" s="752"/>
      <c r="Q22" s="753"/>
      <c r="R22" s="749"/>
      <c r="S22" s="710"/>
      <c r="T22" s="712"/>
      <c r="U22" s="744" t="s">
        <v>144</v>
      </c>
      <c r="V22" s="744" t="s">
        <v>235</v>
      </c>
      <c r="W22" s="750"/>
      <c r="X22" s="749"/>
      <c r="Y22" s="749"/>
      <c r="Z22" s="749"/>
      <c r="AA22" s="749"/>
      <c r="AB22" s="237" t="str">
        <f>$J23</f>
        <v>Hverdag</v>
      </c>
      <c r="AC22" s="235" t="str">
        <f>$J23</f>
        <v>Hverdag</v>
      </c>
      <c r="AD22" s="235" t="str">
        <f>$J23</f>
        <v>Hverdag</v>
      </c>
      <c r="AE22" s="235" t="str">
        <f>$N23</f>
        <v>Helg/helligdag</v>
      </c>
      <c r="AF22" s="235" t="str">
        <f>$N23</f>
        <v>Helg/helligdag</v>
      </c>
      <c r="AG22" s="235" t="str">
        <f>$N23</f>
        <v>Helg/helligdag</v>
      </c>
      <c r="AH22" s="235" t="str">
        <f>$N23</f>
        <v>Helg/helligdag</v>
      </c>
      <c r="AI22" s="242"/>
      <c r="AJ22" s="237"/>
      <c r="AK22" s="237"/>
      <c r="AL22" s="237"/>
      <c r="AM22" s="235"/>
      <c r="AN22" s="240" t="s">
        <v>127</v>
      </c>
      <c r="AO22" s="243">
        <v>14.5</v>
      </c>
      <c r="AP22" s="235"/>
      <c r="AQ22" s="235"/>
      <c r="AR22" s="235"/>
      <c r="AS22" s="235"/>
      <c r="AT22" s="235"/>
      <c r="AU22" s="235"/>
      <c r="AW22" s="242"/>
      <c r="AX22" s="235"/>
      <c r="AY22" s="235" t="s">
        <v>134</v>
      </c>
      <c r="AZ22" s="239">
        <v>52</v>
      </c>
      <c r="BA22" s="239">
        <v>290</v>
      </c>
      <c r="BB22" s="239">
        <v>54</v>
      </c>
      <c r="BD22" s="235"/>
      <c r="BE22" s="235"/>
      <c r="BF22" s="235"/>
      <c r="BG22" s="235"/>
      <c r="BH22" s="235"/>
      <c r="BI22" s="235"/>
      <c r="BJ22" s="235"/>
      <c r="BK22" s="235"/>
      <c r="BL22" s="235"/>
      <c r="BM22" s="242"/>
      <c r="BN22" s="235"/>
      <c r="BO22" s="235"/>
      <c r="BP22" s="235" t="s">
        <v>133</v>
      </c>
      <c r="BQ22" s="235"/>
      <c r="BR22" s="235" t="s">
        <v>140</v>
      </c>
      <c r="BS22" s="239">
        <v>1850</v>
      </c>
      <c r="BT22" s="235"/>
      <c r="BU22" s="235"/>
      <c r="BV22" s="235"/>
      <c r="BW22" s="235"/>
      <c r="BX22" s="235"/>
      <c r="BY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</row>
    <row r="23" spans="1:169" s="238" customFormat="1" ht="15.75">
      <c r="A23" s="318"/>
      <c r="B23" s="742" t="s">
        <v>3</v>
      </c>
      <c r="C23" s="754"/>
      <c r="D23" s="754"/>
      <c r="E23" s="755"/>
      <c r="F23" s="716" t="s">
        <v>4</v>
      </c>
      <c r="G23" s="717"/>
      <c r="H23" s="717"/>
      <c r="I23" s="718"/>
      <c r="J23" s="716" t="s">
        <v>3</v>
      </c>
      <c r="K23" s="717"/>
      <c r="L23" s="717"/>
      <c r="M23" s="718"/>
      <c r="N23" s="716" t="s">
        <v>4</v>
      </c>
      <c r="O23" s="717"/>
      <c r="P23" s="717"/>
      <c r="Q23" s="719"/>
      <c r="R23" s="749"/>
      <c r="S23" s="720" t="s">
        <v>142</v>
      </c>
      <c r="T23" s="719"/>
      <c r="U23" s="745"/>
      <c r="V23" s="745"/>
      <c r="W23" s="748" t="s">
        <v>7</v>
      </c>
      <c r="X23" s="749"/>
      <c r="Y23" s="749"/>
      <c r="Z23" s="749"/>
      <c r="AA23" s="749"/>
      <c r="AB23" s="244" t="str">
        <f>K24</f>
        <v>Kveld</v>
      </c>
      <c r="AC23" s="244" t="str">
        <f>L24</f>
        <v>Langvakt</v>
      </c>
      <c r="AD23" s="244" t="str">
        <f>M24</f>
        <v>Natt</v>
      </c>
      <c r="AE23" s="244" t="str">
        <f>O24</f>
        <v>Kveld</v>
      </c>
      <c r="AF23" s="244" t="str">
        <f>P24</f>
        <v>Langvakt</v>
      </c>
      <c r="AG23" s="244" t="str">
        <f>Q24</f>
        <v>Natt</v>
      </c>
      <c r="AH23" s="244" t="str">
        <f>Q24</f>
        <v>Natt</v>
      </c>
      <c r="AI23" s="245" t="s">
        <v>9</v>
      </c>
      <c r="AJ23" s="246" t="s">
        <v>9</v>
      </c>
      <c r="AK23" s="246" t="s">
        <v>9</v>
      </c>
      <c r="AL23" s="246" t="s">
        <v>9</v>
      </c>
      <c r="AM23" s="247" t="s">
        <v>55</v>
      </c>
      <c r="AN23" s="247" t="s">
        <v>55</v>
      </c>
      <c r="AO23" s="247" t="s">
        <v>56</v>
      </c>
      <c r="AP23" s="235"/>
      <c r="AQ23" s="235" t="s">
        <v>58</v>
      </c>
      <c r="AR23" s="746" t="str">
        <f>U21</f>
        <v xml:space="preserve">Innleie av vikarer </v>
      </c>
      <c r="AS23" s="747"/>
      <c r="AT23" s="248"/>
      <c r="AU23" s="235"/>
      <c r="AW23" s="242"/>
      <c r="AX23" s="235"/>
      <c r="AY23" s="235" t="s">
        <v>135</v>
      </c>
      <c r="AZ23" s="239">
        <v>50</v>
      </c>
      <c r="BA23" s="249">
        <v>349.99990000000003</v>
      </c>
      <c r="BB23" s="239">
        <v>56</v>
      </c>
      <c r="BC23" s="235" t="str">
        <f>AR23</f>
        <v xml:space="preserve">Innleie av vikarer </v>
      </c>
      <c r="BD23" s="235"/>
      <c r="BE23" s="235"/>
      <c r="BF23" s="235"/>
      <c r="BG23" s="235"/>
      <c r="BH23" s="235"/>
      <c r="BI23" s="235"/>
      <c r="BJ23" s="235"/>
      <c r="BK23" s="235"/>
      <c r="BL23" s="235"/>
      <c r="BM23" s="242"/>
      <c r="BN23" s="235"/>
      <c r="BO23" s="235"/>
      <c r="BP23" s="243">
        <f>21+2/3</f>
        <v>21.666666666666668</v>
      </c>
      <c r="BQ23" s="235"/>
      <c r="BR23" s="739" t="s">
        <v>139</v>
      </c>
      <c r="BS23" s="740"/>
      <c r="BT23" s="740"/>
      <c r="BU23" s="740"/>
      <c r="BV23" s="741"/>
      <c r="BW23" s="235"/>
      <c r="BX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</row>
    <row r="24" spans="1:169" s="238" customFormat="1" ht="27.75" customHeight="1">
      <c r="A24" s="319"/>
      <c r="B24" s="316" t="s">
        <v>10</v>
      </c>
      <c r="C24" s="601" t="s">
        <v>11</v>
      </c>
      <c r="D24" s="603" t="s">
        <v>270</v>
      </c>
      <c r="E24" s="602" t="s">
        <v>13</v>
      </c>
      <c r="F24" s="320" t="str">
        <f t="shared" ref="F24:G24" si="0">B24</f>
        <v>Dag</v>
      </c>
      <c r="G24" s="320" t="str">
        <f t="shared" si="0"/>
        <v>Kveld</v>
      </c>
      <c r="H24" s="301" t="str">
        <f>D24</f>
        <v>Langvakt</v>
      </c>
      <c r="I24" s="320" t="str">
        <f t="shared" ref="I24:Q24" si="1">E24</f>
        <v>Natt</v>
      </c>
      <c r="J24" s="321" t="str">
        <f t="shared" si="1"/>
        <v>Dag</v>
      </c>
      <c r="K24" s="322" t="str">
        <f t="shared" si="1"/>
        <v>Kveld</v>
      </c>
      <c r="L24" s="301" t="str">
        <f>D24</f>
        <v>Langvakt</v>
      </c>
      <c r="M24" s="320" t="str">
        <f t="shared" si="1"/>
        <v>Natt</v>
      </c>
      <c r="N24" s="321" t="str">
        <f t="shared" si="1"/>
        <v>Dag</v>
      </c>
      <c r="O24" s="322" t="str">
        <f t="shared" si="1"/>
        <v>Kveld</v>
      </c>
      <c r="P24" s="301" t="str">
        <f>D24</f>
        <v>Langvakt</v>
      </c>
      <c r="Q24" s="320" t="str">
        <f t="shared" si="1"/>
        <v>Natt</v>
      </c>
      <c r="R24" s="750"/>
      <c r="S24" s="323">
        <v>0.5</v>
      </c>
      <c r="T24" s="324" t="s">
        <v>14</v>
      </c>
      <c r="U24" s="720" t="s">
        <v>6</v>
      </c>
      <c r="V24" s="719"/>
      <c r="W24" s="750"/>
      <c r="X24" s="750"/>
      <c r="Y24" s="750"/>
      <c r="Z24" s="750"/>
      <c r="AA24" s="325" t="s">
        <v>205</v>
      </c>
      <c r="AB24" s="250" t="s">
        <v>70</v>
      </c>
      <c r="AC24" s="250" t="s">
        <v>70</v>
      </c>
      <c r="AD24" s="250" t="s">
        <v>71</v>
      </c>
      <c r="AE24" s="250" t="s">
        <v>70</v>
      </c>
      <c r="AF24" s="250" t="s">
        <v>70</v>
      </c>
      <c r="AG24" s="250" t="s">
        <v>71</v>
      </c>
      <c r="AH24" s="251" t="s">
        <v>72</v>
      </c>
      <c r="AI24" s="252"/>
      <c r="AJ24" s="253" t="s">
        <v>73</v>
      </c>
      <c r="AK24" s="253" t="s">
        <v>149</v>
      </c>
      <c r="AL24" s="253" t="s">
        <v>74</v>
      </c>
      <c r="AM24" s="250" t="s">
        <v>75</v>
      </c>
      <c r="AN24" s="250" t="s">
        <v>76</v>
      </c>
      <c r="AO24" s="250" t="s">
        <v>212</v>
      </c>
      <c r="AP24" s="250" t="s">
        <v>17</v>
      </c>
      <c r="AQ24" s="253" t="s">
        <v>79</v>
      </c>
      <c r="AR24" s="254" t="str">
        <f>U22</f>
        <v>Ferie-avvikling</v>
      </c>
      <c r="AS24" s="255" t="str">
        <f>V22</f>
        <v>Annen bruk av vikarer</v>
      </c>
      <c r="AT24" s="253" t="s">
        <v>145</v>
      </c>
      <c r="AU24" s="253" t="s">
        <v>46</v>
      </c>
      <c r="AW24" s="256" t="s">
        <v>83</v>
      </c>
      <c r="AX24" s="253"/>
      <c r="AY24" s="250" t="s">
        <v>84</v>
      </c>
      <c r="AZ24" s="250" t="s">
        <v>85</v>
      </c>
      <c r="BA24" s="250" t="s">
        <v>86</v>
      </c>
      <c r="BB24" s="250" t="s">
        <v>87</v>
      </c>
      <c r="BC24" s="235" t="str">
        <f>AR24</f>
        <v>Ferie-avvikling</v>
      </c>
      <c r="BD24" s="235" t="str">
        <f>AS24</f>
        <v>Annen bruk av vikarer</v>
      </c>
      <c r="BE24" s="250" t="s">
        <v>91</v>
      </c>
      <c r="BF24" s="250" t="s">
        <v>92</v>
      </c>
      <c r="BG24" s="250" t="s">
        <v>93</v>
      </c>
      <c r="BH24" s="250" t="s">
        <v>46</v>
      </c>
      <c r="BI24" s="250" t="s">
        <v>94</v>
      </c>
      <c r="BJ24" s="250"/>
      <c r="BK24" s="250" t="s">
        <v>95</v>
      </c>
      <c r="BL24" s="250" t="s">
        <v>96</v>
      </c>
      <c r="BM24" s="256" t="s">
        <v>97</v>
      </c>
      <c r="BN24" s="253" t="s">
        <v>128</v>
      </c>
      <c r="BO24" s="253" t="s">
        <v>132</v>
      </c>
      <c r="BP24" s="253" t="s">
        <v>129</v>
      </c>
      <c r="BQ24" s="253" t="s">
        <v>130</v>
      </c>
      <c r="BR24" s="257">
        <v>0.5</v>
      </c>
      <c r="BS24" s="258">
        <v>0.75</v>
      </c>
      <c r="BT24" s="258">
        <v>1</v>
      </c>
      <c r="BU24" s="258">
        <v>1.33</v>
      </c>
      <c r="BV24" s="259">
        <v>2</v>
      </c>
      <c r="BW24" s="253" t="str">
        <f>BB24</f>
        <v>Nattillegg</v>
      </c>
      <c r="BX24" s="240" t="s">
        <v>131</v>
      </c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</row>
    <row r="25" spans="1:169" s="238" customFormat="1" ht="15.75">
      <c r="A25" s="326" t="s">
        <v>152</v>
      </c>
      <c r="B25" s="327">
        <v>5.62</v>
      </c>
      <c r="C25" s="328">
        <v>4</v>
      </c>
      <c r="D25" s="328"/>
      <c r="E25" s="328">
        <v>1</v>
      </c>
      <c r="F25" s="327">
        <v>4</v>
      </c>
      <c r="G25" s="328">
        <v>4</v>
      </c>
      <c r="H25" s="328"/>
      <c r="I25" s="328">
        <v>1</v>
      </c>
      <c r="J25" s="615">
        <v>7.6</v>
      </c>
      <c r="K25" s="328">
        <f>+(7.75*4+8)/5</f>
        <v>7.8</v>
      </c>
      <c r="L25" s="329"/>
      <c r="M25" s="328">
        <v>9.5</v>
      </c>
      <c r="N25" s="615">
        <v>7.5</v>
      </c>
      <c r="O25" s="328">
        <v>7.75</v>
      </c>
      <c r="P25" s="328"/>
      <c r="Q25" s="328">
        <v>9.5</v>
      </c>
      <c r="R25" s="613">
        <f>+AP25</f>
        <v>15.719999999999999</v>
      </c>
      <c r="S25" s="330">
        <v>10</v>
      </c>
      <c r="T25" s="331">
        <v>21.5</v>
      </c>
      <c r="U25" s="332">
        <v>0.11</v>
      </c>
      <c r="V25" s="332">
        <v>0.05</v>
      </c>
      <c r="W25" s="333">
        <f>437*0.985</f>
        <v>430.44499999999999</v>
      </c>
      <c r="X25" s="613">
        <f>+AP25+Y25</f>
        <v>15.719999999999999</v>
      </c>
      <c r="Y25" s="334">
        <v>0</v>
      </c>
      <c r="Z25" s="335">
        <v>35.5</v>
      </c>
      <c r="AA25" s="589">
        <f>BH25</f>
        <v>13093</v>
      </c>
      <c r="AB25" s="260">
        <f>$AB$3*24</f>
        <v>5.25</v>
      </c>
      <c r="AC25" s="261">
        <f>AB25</f>
        <v>5.25</v>
      </c>
      <c r="AD25" s="262">
        <f>6+($AD$3*24)</f>
        <v>8</v>
      </c>
      <c r="AE25" s="260">
        <f>$AE$3*24</f>
        <v>5.25</v>
      </c>
      <c r="AF25" s="261">
        <f>AE25</f>
        <v>5.25</v>
      </c>
      <c r="AG25" s="262">
        <f>6+($AD$3*24)</f>
        <v>8</v>
      </c>
      <c r="AH25" s="261">
        <v>7.25</v>
      </c>
      <c r="AI25" s="263">
        <f>SUMPRODUCT(B25:E25,J25:M25)*5+ SUMPRODUCT(F25:I25,N25:Q25)*2</f>
        <v>558.05999999999995</v>
      </c>
      <c r="AJ25" s="263">
        <f>SUMPRODUCT(B25:E25,J25:M25)*5</f>
        <v>417.05999999999995</v>
      </c>
      <c r="AK25" s="263">
        <f>B25*J25*5</f>
        <v>213.55999999999997</v>
      </c>
      <c r="AL25" s="263">
        <f>+SUMPRODUCT(F25:I25*N25:Q25)*2</f>
        <v>141</v>
      </c>
      <c r="AM25" s="264">
        <f>((C25*AB25)+(D25*AC25)+(E25*AD25))*5+((G25*AE25)+(H25*AF25)+(I25*AG25))*2</f>
        <v>203</v>
      </c>
      <c r="AN25" s="265">
        <f>SUMPRODUCT(F25:I25,N25:Q25)*2</f>
        <v>141</v>
      </c>
      <c r="AO25" s="264">
        <f>((H25*P25)+(I25*Q25)+(G25*O25)+(F25*N25))*$AO$22</f>
        <v>1022.25</v>
      </c>
      <c r="AP25" s="266">
        <f>AI25/Z25</f>
        <v>15.719999999999999</v>
      </c>
      <c r="AQ25" s="267">
        <f>+AI25</f>
        <v>558.05999999999995</v>
      </c>
      <c r="AR25" s="264">
        <f>+U25*$AQ25</f>
        <v>61.386599999999994</v>
      </c>
      <c r="AS25" s="264">
        <f>+V25*$AQ25</f>
        <v>27.902999999999999</v>
      </c>
      <c r="AT25" s="268">
        <f>SUM(S25:T25)</f>
        <v>31.5</v>
      </c>
      <c r="AU25" s="269">
        <f>SUM(AQ25:AT25)</f>
        <v>678.84960000000001</v>
      </c>
      <c r="AW25" s="242"/>
      <c r="AX25" s="235" t="str">
        <f>A25</f>
        <v>I turnus</v>
      </c>
      <c r="AY25" s="270">
        <f>TRUNC(BN25*X25/1000)</f>
        <v>6766</v>
      </c>
      <c r="AZ25" s="264">
        <f>TRUNC($AZ$22*AN25*$AZ$23*(1+$Z$15))/1000</f>
        <v>366.6</v>
      </c>
      <c r="BA25" s="264">
        <f>TRUNC(AO25*BX25*(1-$Z$17)/1000)</f>
        <v>317</v>
      </c>
      <c r="BB25" s="264">
        <f>TRUNC(AM25*$AZ$22*BW25*(1+$Z$16))/1000</f>
        <v>591.13599999999997</v>
      </c>
      <c r="BC25" s="264">
        <f>TRUNC((SUM(AY25:BB25)+SUM(BE25:BE25))*V25)</f>
        <v>437</v>
      </c>
      <c r="BD25" s="264">
        <f>TRUNC((SUM(AY25:BB25)+SUM(BE25:BE25))*U25)</f>
        <v>961</v>
      </c>
      <c r="BE25" s="264">
        <f>TRUNC($AZ$22*((S25*BR25)+(T25*BT25))/1000)</f>
        <v>701</v>
      </c>
      <c r="BF25" s="264">
        <f>(AY25+AZ25+BB25)*$M$16</f>
        <v>1699.2219200000002</v>
      </c>
      <c r="BG25" s="264">
        <f>SUM(AY25:BF25)*$M$15</f>
        <v>1254.9295395199999</v>
      </c>
      <c r="BH25" s="264">
        <f>TRUNC(SUM(AY25:BG25))</f>
        <v>13093</v>
      </c>
      <c r="BI25" s="264">
        <f>+AY25+AZ25+BB25+BA25</f>
        <v>8040.7360000000008</v>
      </c>
      <c r="BJ25" s="264"/>
      <c r="BK25" s="264">
        <f>+BH25-BI25-BL25</f>
        <v>2098.1125404799991</v>
      </c>
      <c r="BL25" s="271">
        <f>+BF25+BG25</f>
        <v>2954.1514595200001</v>
      </c>
      <c r="BM25" s="237">
        <f>W25</f>
        <v>430.44499999999999</v>
      </c>
      <c r="BN25" s="272">
        <f>W25*1000</f>
        <v>430445</v>
      </c>
      <c r="BO25" s="269">
        <f>BN25/12</f>
        <v>35870.416666666664</v>
      </c>
      <c r="BP25" s="272">
        <f>BO25/$BP$23</f>
        <v>1655.5576923076922</v>
      </c>
      <c r="BQ25" s="272">
        <f>BP25/Z25*5</f>
        <v>233.1771397616468</v>
      </c>
      <c r="BR25" s="273">
        <f>$BN25/$BS$22*(1+$BR$24)</f>
        <v>349.00945945945949</v>
      </c>
      <c r="BS25" s="267">
        <f>$BN25/$BS$22*(1+$BS$24)</f>
        <v>407.17770270270273</v>
      </c>
      <c r="BT25" s="267">
        <f>$BN25/$BS$22*(1+$BT$24)</f>
        <v>465.34594594594597</v>
      </c>
      <c r="BU25" s="267">
        <f>$BN25/$BS$22*(1+$BU$24)</f>
        <v>542.12802702702709</v>
      </c>
      <c r="BV25" s="274">
        <f>$BN25/$BS$22*(1+$BV$24)</f>
        <v>698.01891891891898</v>
      </c>
      <c r="BW25" s="274">
        <f>+IF(W25&lt;$BA$22,$BB$21,IF(W25&gt;$BA$23,$BB$23,$BB$22))</f>
        <v>56</v>
      </c>
      <c r="BX25" s="272">
        <f>$BY$21*BQ25</f>
        <v>310.12559588299024</v>
      </c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</row>
    <row r="26" spans="1:169" s="284" customFormat="1" ht="15.75">
      <c r="A26" s="336" t="s">
        <v>298</v>
      </c>
      <c r="B26" s="337">
        <f>0.9</f>
        <v>0.9</v>
      </c>
      <c r="C26" s="338"/>
      <c r="D26" s="338"/>
      <c r="E26" s="338"/>
      <c r="F26" s="337"/>
      <c r="G26" s="338"/>
      <c r="H26" s="338"/>
      <c r="I26" s="338"/>
      <c r="J26" s="339">
        <v>7.5</v>
      </c>
      <c r="K26" s="340"/>
      <c r="L26" s="340"/>
      <c r="M26" s="340"/>
      <c r="N26" s="339"/>
      <c r="O26" s="340"/>
      <c r="P26" s="340"/>
      <c r="Q26" s="340"/>
      <c r="R26" s="614">
        <f>+AP26</f>
        <v>0.9</v>
      </c>
      <c r="S26" s="341"/>
      <c r="T26" s="342"/>
      <c r="U26" s="343">
        <v>0</v>
      </c>
      <c r="V26" s="343">
        <v>0</v>
      </c>
      <c r="W26" s="344">
        <f>570</f>
        <v>570</v>
      </c>
      <c r="X26" s="345">
        <f>+AP26</f>
        <v>0.9</v>
      </c>
      <c r="Y26" s="346"/>
      <c r="Z26" s="335">
        <v>37.5</v>
      </c>
      <c r="AA26" s="590">
        <f>BH26</f>
        <v>692</v>
      </c>
      <c r="AB26" s="275">
        <f>AB25</f>
        <v>5.25</v>
      </c>
      <c r="AC26" s="275">
        <f>AC25</f>
        <v>5.25</v>
      </c>
      <c r="AD26" s="276">
        <f>6+($AD$3*24)</f>
        <v>8</v>
      </c>
      <c r="AE26" s="275">
        <f>AE25</f>
        <v>5.25</v>
      </c>
      <c r="AF26" s="275">
        <f>AF25</f>
        <v>5.25</v>
      </c>
      <c r="AG26" s="276">
        <f>6+($AD$3*24)</f>
        <v>8</v>
      </c>
      <c r="AH26" s="275"/>
      <c r="AI26" s="277">
        <f>SUMPRODUCT(B26:E26,J26:M26)*5+ SUMPRODUCT(F26:I26,N26:Q26)*2</f>
        <v>33.75</v>
      </c>
      <c r="AJ26" s="277">
        <f>SUMPRODUCT(B26:E26,J26:M26)*5</f>
        <v>33.75</v>
      </c>
      <c r="AK26" s="277">
        <f>B26*J26*5</f>
        <v>33.75</v>
      </c>
      <c r="AL26" s="277">
        <f>+SUMPRODUCT(F26:I26*N26:Q26)*2</f>
        <v>0</v>
      </c>
      <c r="AM26" s="278">
        <f>((C26*AB26)+(D26*AC26)+(E26*AD26))*5+((G26*AE26)+(H26*AF26)+(I26*AG26))*2</f>
        <v>0</v>
      </c>
      <c r="AN26" s="279">
        <f>SUMPRODUCT(F26:I26,N26:Q26)*2</f>
        <v>0</v>
      </c>
      <c r="AO26" s="278">
        <f>((H26*P26)+(I26*Q26)+(G26*O26)+(F26*N26))*$AO$22</f>
        <v>0</v>
      </c>
      <c r="AP26" s="280">
        <f>AI26/Z26</f>
        <v>0.9</v>
      </c>
      <c r="AQ26" s="281">
        <f>+AI26</f>
        <v>33.75</v>
      </c>
      <c r="AR26" s="278">
        <f>+U26*$AQ26</f>
        <v>0</v>
      </c>
      <c r="AS26" s="278">
        <f>+V26*$AQ26</f>
        <v>0</v>
      </c>
      <c r="AT26" s="282">
        <f>SUM(S26:T26)</f>
        <v>0</v>
      </c>
      <c r="AU26" s="283">
        <f>SUM(AQ26:AT26)</f>
        <v>33.75</v>
      </c>
      <c r="AW26" s="252"/>
      <c r="AX26" s="253" t="str">
        <f>A26</f>
        <v>Alle andre</v>
      </c>
      <c r="AY26" s="285">
        <f>TRUNC(BN26*X26/1000)</f>
        <v>513</v>
      </c>
      <c r="AZ26" s="278">
        <f>TRUNC($AZ$22*AN26*$AZ$23*(1+$Z$15))/1000</f>
        <v>0</v>
      </c>
      <c r="BA26" s="278">
        <f>TRUNC(AO26*BX26*(1-$Z$17)/1000)</f>
        <v>0</v>
      </c>
      <c r="BB26" s="278">
        <f>TRUNC(AM26*$AZ$22*BW26*(1+$Z$16))/1000</f>
        <v>0</v>
      </c>
      <c r="BC26" s="278">
        <f>TRUNC((SUM(AY26:BB26)+SUM(BE26:BE26))*V26)</f>
        <v>0</v>
      </c>
      <c r="BD26" s="278">
        <f>TRUNC((SUM(AY26:BB26)+SUM(BE26:BE26))*U26)</f>
        <v>0</v>
      </c>
      <c r="BE26" s="278">
        <f>TRUNC($AZ$22*((S26*BR26)+(T26*BT26))/1000)</f>
        <v>0</v>
      </c>
      <c r="BF26" s="278">
        <f>+AY26*$M$16</f>
        <v>112.86</v>
      </c>
      <c r="BG26" s="278">
        <f>SUM(AY26:BF26)*$M$15</f>
        <v>66.341160000000002</v>
      </c>
      <c r="BH26" s="278">
        <f>TRUNC(SUM(AY26:BG26))</f>
        <v>692</v>
      </c>
      <c r="BI26" s="278">
        <f>+AY26+AZ26+BB26+BA26</f>
        <v>513</v>
      </c>
      <c r="BJ26" s="278"/>
      <c r="BK26" s="278">
        <f>+BH26-BI26-BL26</f>
        <v>-0.20116000000001577</v>
      </c>
      <c r="BL26" s="286">
        <f>+BF26+BG26</f>
        <v>179.20116000000002</v>
      </c>
      <c r="BM26" s="253">
        <f>W26</f>
        <v>570</v>
      </c>
      <c r="BN26" s="272">
        <f>W26*1000</f>
        <v>570000</v>
      </c>
      <c r="BO26" s="283">
        <f>BN26/12</f>
        <v>47500</v>
      </c>
      <c r="BP26" s="272">
        <f>BO26/$BP$23</f>
        <v>2192.3076923076924</v>
      </c>
      <c r="BQ26" s="272">
        <f>BP26/Z26*5</f>
        <v>292.30769230769232</v>
      </c>
      <c r="BR26" s="287">
        <f>$BN26/$BS$22*(1+$BR$24)</f>
        <v>462.16216216216219</v>
      </c>
      <c r="BS26" s="281">
        <f>$BN26/$BS$22*(1+$BS$24)</f>
        <v>539.18918918918916</v>
      </c>
      <c r="BT26" s="281">
        <f>$BN26/$BS$22*(1+$BT$24)</f>
        <v>616.21621621621625</v>
      </c>
      <c r="BU26" s="281">
        <f>$BN26/$BS$22*(1+$BU$24)</f>
        <v>717.89189189189199</v>
      </c>
      <c r="BV26" s="288">
        <f>$BN26/$BS$22*(1+$BV$24)</f>
        <v>924.32432432432438</v>
      </c>
      <c r="BW26" s="288">
        <f>+IF(W26&lt;$BA$22,$BB$21,IF(W26&gt;$BA$23,$BB$23,$BB$22))</f>
        <v>56</v>
      </c>
      <c r="BX26" s="272">
        <f>$BY$21*BQ26</f>
        <v>388.76923076923083</v>
      </c>
      <c r="CC26" s="253"/>
      <c r="CD26" s="253"/>
      <c r="CE26" s="253"/>
      <c r="CF26" s="253"/>
      <c r="CG26" s="253"/>
      <c r="CH26" s="253"/>
      <c r="CI26" s="253"/>
      <c r="CJ26" s="253"/>
      <c r="CK26" s="253"/>
      <c r="CL26" s="253"/>
      <c r="CM26" s="253"/>
      <c r="CN26" s="253"/>
      <c r="CO26" s="253"/>
      <c r="CP26" s="253"/>
      <c r="CQ26" s="253"/>
      <c r="CR26" s="253"/>
      <c r="CS26" s="253"/>
      <c r="CT26" s="253"/>
      <c r="CU26" s="253"/>
      <c r="CV26" s="253"/>
      <c r="CW26" s="253"/>
      <c r="CX26" s="253"/>
      <c r="CY26" s="253"/>
      <c r="CZ26" s="253"/>
      <c r="DA26" s="253"/>
      <c r="DB26" s="253"/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3"/>
      <c r="DO26" s="253"/>
      <c r="DP26" s="253"/>
      <c r="DQ26" s="253"/>
      <c r="DR26" s="253"/>
      <c r="DS26" s="253"/>
      <c r="DT26" s="253"/>
      <c r="DU26" s="253"/>
      <c r="DV26" s="253"/>
      <c r="DW26" s="253"/>
      <c r="DX26" s="253"/>
      <c r="DY26" s="253"/>
      <c r="DZ26" s="253"/>
      <c r="EA26" s="253"/>
      <c r="EB26" s="253"/>
      <c r="EC26" s="253"/>
      <c r="ED26" s="253"/>
      <c r="EE26" s="253"/>
      <c r="EF26" s="253"/>
      <c r="EG26" s="253"/>
      <c r="EH26" s="253"/>
      <c r="EI26" s="253"/>
      <c r="EJ26" s="253"/>
      <c r="EK26" s="253"/>
      <c r="EL26" s="253"/>
      <c r="EM26" s="253"/>
      <c r="EN26" s="253"/>
      <c r="EO26" s="253"/>
      <c r="EP26" s="253"/>
      <c r="EQ26" s="253"/>
      <c r="ER26" s="253"/>
      <c r="ES26" s="253"/>
      <c r="ET26" s="253"/>
      <c r="EU26" s="253"/>
      <c r="EV26" s="253"/>
      <c r="EW26" s="253"/>
      <c r="EX26" s="253"/>
      <c r="EY26" s="253"/>
      <c r="EZ26" s="253"/>
      <c r="FA26" s="253"/>
      <c r="FB26" s="253"/>
      <c r="FC26" s="253"/>
      <c r="FD26" s="253"/>
      <c r="FE26" s="253"/>
      <c r="FF26" s="253"/>
      <c r="FG26" s="253"/>
      <c r="FH26" s="253"/>
      <c r="FI26" s="253"/>
      <c r="FJ26" s="253"/>
      <c r="FK26" s="253"/>
    </row>
    <row r="27" spans="1:169" s="234" customFormat="1" ht="15.75">
      <c r="A27" s="713" t="s">
        <v>174</v>
      </c>
      <c r="B27" s="714"/>
      <c r="C27" s="714"/>
      <c r="D27" s="714"/>
      <c r="E27" s="714"/>
      <c r="F27" s="714"/>
      <c r="G27" s="714"/>
      <c r="H27" s="714"/>
      <c r="I27" s="714"/>
      <c r="J27" s="714"/>
      <c r="K27" s="714"/>
      <c r="L27" s="714"/>
      <c r="M27" s="714"/>
      <c r="N27" s="714"/>
      <c r="O27" s="714"/>
      <c r="P27" s="714"/>
      <c r="Q27" s="714"/>
      <c r="R27" s="714"/>
      <c r="S27" s="714"/>
      <c r="T27" s="714"/>
      <c r="U27" s="714"/>
      <c r="V27" s="714"/>
      <c r="W27" s="714"/>
      <c r="X27" s="714"/>
      <c r="Y27" s="714"/>
      <c r="Z27" s="714"/>
      <c r="AA27" s="715"/>
      <c r="AB27" s="260"/>
      <c r="AC27" s="260"/>
      <c r="AD27" s="260"/>
      <c r="AE27" s="260"/>
      <c r="AF27" s="260"/>
      <c r="AG27" s="260"/>
      <c r="AH27" s="260"/>
      <c r="AI27" s="289"/>
      <c r="AJ27" s="289"/>
      <c r="AK27" s="289"/>
      <c r="AL27" s="289"/>
      <c r="AM27" s="290"/>
      <c r="AN27" s="231"/>
      <c r="AO27" s="290"/>
      <c r="AP27" s="291"/>
      <c r="AQ27" s="292"/>
      <c r="AR27" s="290"/>
      <c r="AS27" s="290"/>
      <c r="AT27" s="293"/>
      <c r="AU27" s="292"/>
      <c r="AW27" s="237"/>
      <c r="AX27" s="237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37"/>
      <c r="BN27" s="272"/>
      <c r="BO27" s="292"/>
      <c r="BP27" s="272"/>
      <c r="BQ27" s="272"/>
      <c r="BR27" s="292"/>
      <c r="BS27" s="292"/>
      <c r="BT27" s="292"/>
      <c r="BU27" s="292"/>
      <c r="BV27" s="292"/>
      <c r="BW27" s="292"/>
      <c r="BX27" s="272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7"/>
      <c r="EL27" s="237"/>
      <c r="EM27" s="237"/>
      <c r="EN27" s="237"/>
      <c r="EO27" s="237"/>
      <c r="EP27" s="237"/>
      <c r="EQ27" s="237"/>
      <c r="ER27" s="237"/>
      <c r="ES27" s="237"/>
      <c r="ET27" s="237"/>
      <c r="EU27" s="237"/>
      <c r="EV27" s="237"/>
      <c r="EW27" s="237"/>
      <c r="EX27" s="237"/>
      <c r="EY27" s="237"/>
      <c r="EZ27" s="237"/>
      <c r="FA27" s="237"/>
      <c r="FB27" s="237"/>
      <c r="FC27" s="237"/>
      <c r="FD27" s="237"/>
      <c r="FE27" s="237"/>
      <c r="FF27" s="237"/>
      <c r="FG27" s="237"/>
      <c r="FH27" s="237"/>
      <c r="FI27" s="237"/>
      <c r="FJ27" s="237"/>
      <c r="FK27" s="237"/>
    </row>
    <row r="28" spans="1:169" s="234" customFormat="1" ht="84.75" customHeight="1">
      <c r="A28" s="641" t="s">
        <v>276</v>
      </c>
      <c r="B28" s="643"/>
      <c r="C28" s="428" t="s">
        <v>286</v>
      </c>
      <c r="D28" s="428" t="s">
        <v>226</v>
      </c>
      <c r="E28" s="428" t="s">
        <v>227</v>
      </c>
      <c r="F28" s="428" t="s">
        <v>228</v>
      </c>
      <c r="G28" s="428" t="s">
        <v>285</v>
      </c>
      <c r="H28" s="428" t="s">
        <v>229</v>
      </c>
      <c r="I28" s="428" t="s">
        <v>150</v>
      </c>
      <c r="J28" s="428" t="s">
        <v>230</v>
      </c>
      <c r="K28" s="428" t="s">
        <v>231</v>
      </c>
      <c r="L28" s="429" t="str">
        <f>+BH24</f>
        <v>Totalt</v>
      </c>
      <c r="M28" s="726"/>
      <c r="N28" s="641" t="s">
        <v>167</v>
      </c>
      <c r="O28" s="642"/>
      <c r="P28" s="643"/>
      <c r="Q28" s="347" t="s">
        <v>243</v>
      </c>
      <c r="R28" s="348"/>
      <c r="S28" s="348"/>
      <c r="T28" s="641" t="s">
        <v>213</v>
      </c>
      <c r="U28" s="642"/>
      <c r="V28" s="643"/>
      <c r="W28" s="666" t="s">
        <v>244</v>
      </c>
      <c r="X28" s="667"/>
      <c r="Y28" s="349"/>
      <c r="Z28" s="641" t="s">
        <v>172</v>
      </c>
      <c r="AA28" s="643"/>
      <c r="AB28" s="294"/>
      <c r="AC28" s="260" t="s">
        <v>170</v>
      </c>
      <c r="AD28" s="260" t="s">
        <v>171</v>
      </c>
      <c r="AE28" s="260"/>
      <c r="AF28" s="260"/>
      <c r="AG28" s="260"/>
      <c r="AH28" s="260"/>
      <c r="AI28" s="260"/>
      <c r="AJ28" s="289"/>
      <c r="AK28" s="289"/>
      <c r="AL28" s="289"/>
      <c r="AM28" s="289"/>
      <c r="AN28" s="290"/>
      <c r="AO28" s="231"/>
      <c r="AP28" s="290"/>
      <c r="AQ28" s="291"/>
      <c r="AR28" s="292"/>
      <c r="AS28" s="290"/>
      <c r="AT28" s="290"/>
      <c r="AU28" s="293"/>
      <c r="AV28" s="292"/>
      <c r="AX28" s="237"/>
      <c r="AY28" s="237"/>
      <c r="AZ28" s="290"/>
      <c r="BA28" s="290"/>
      <c r="BB28" s="290"/>
      <c r="BC28" s="290"/>
      <c r="BD28" s="290"/>
      <c r="BE28" s="290"/>
      <c r="BF28" s="290"/>
      <c r="BG28" s="290"/>
      <c r="BH28" s="290"/>
      <c r="BI28" s="290"/>
      <c r="BJ28" s="290"/>
      <c r="BK28" s="290"/>
      <c r="BL28" s="290"/>
      <c r="BM28" s="290"/>
      <c r="BN28" s="237"/>
      <c r="BO28" s="272"/>
      <c r="BP28" s="292"/>
      <c r="BQ28" s="272"/>
      <c r="BR28" s="272"/>
      <c r="BS28" s="292"/>
      <c r="BT28" s="292"/>
      <c r="BU28" s="292"/>
      <c r="BV28" s="292"/>
      <c r="BW28" s="292"/>
      <c r="BX28" s="292"/>
      <c r="BY28" s="272"/>
      <c r="CD28" s="237"/>
      <c r="CE28" s="237"/>
      <c r="CF28" s="237"/>
      <c r="CG28" s="237"/>
      <c r="CH28" s="237"/>
      <c r="CI28" s="237"/>
      <c r="CJ28" s="237"/>
      <c r="CK28" s="237"/>
      <c r="CL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7"/>
      <c r="EL28" s="237"/>
      <c r="EM28" s="237"/>
      <c r="EN28" s="237"/>
      <c r="EO28" s="237"/>
      <c r="EP28" s="237"/>
      <c r="EQ28" s="237"/>
      <c r="ER28" s="237"/>
      <c r="ES28" s="237"/>
      <c r="ET28" s="237"/>
      <c r="EU28" s="237"/>
      <c r="EV28" s="237"/>
      <c r="EW28" s="237"/>
      <c r="EX28" s="237"/>
      <c r="EY28" s="237"/>
      <c r="EZ28" s="237"/>
      <c r="FA28" s="237"/>
      <c r="FB28" s="237"/>
      <c r="FC28" s="237"/>
      <c r="FD28" s="237"/>
      <c r="FE28" s="237"/>
      <c r="FF28" s="237"/>
      <c r="FG28" s="237"/>
      <c r="FH28" s="237"/>
      <c r="FI28" s="237"/>
      <c r="FJ28" s="237"/>
      <c r="FK28" s="237"/>
      <c r="FL28" s="237"/>
    </row>
    <row r="29" spans="1:169" s="234" customFormat="1" ht="15.75">
      <c r="A29" s="622" t="s">
        <v>16</v>
      </c>
      <c r="B29" s="624"/>
      <c r="C29" s="581">
        <f t="shared" ref="C29:L29" si="2">+AY25+AY26</f>
        <v>7279</v>
      </c>
      <c r="D29" s="582">
        <f t="shared" si="2"/>
        <v>366.6</v>
      </c>
      <c r="E29" s="582">
        <f t="shared" si="2"/>
        <v>317</v>
      </c>
      <c r="F29" s="582">
        <f t="shared" si="2"/>
        <v>591.13599999999997</v>
      </c>
      <c r="G29" s="582">
        <f t="shared" si="2"/>
        <v>437</v>
      </c>
      <c r="H29" s="582">
        <f t="shared" si="2"/>
        <v>961</v>
      </c>
      <c r="I29" s="582">
        <f t="shared" si="2"/>
        <v>701</v>
      </c>
      <c r="J29" s="582">
        <f t="shared" si="2"/>
        <v>1812.0819200000001</v>
      </c>
      <c r="K29" s="583">
        <f t="shared" si="2"/>
        <v>1321.2706995199999</v>
      </c>
      <c r="L29" s="584">
        <f t="shared" si="2"/>
        <v>13785</v>
      </c>
      <c r="M29" s="727"/>
      <c r="N29" s="705" t="s">
        <v>168</v>
      </c>
      <c r="O29" s="706"/>
      <c r="P29" s="355">
        <v>0.16500000000000001</v>
      </c>
      <c r="Q29" s="351"/>
      <c r="R29" s="348"/>
      <c r="S29" s="348"/>
      <c r="T29" s="705" t="s">
        <v>50</v>
      </c>
      <c r="U29" s="706"/>
      <c r="V29" s="758"/>
      <c r="W29" s="668">
        <v>937.5</v>
      </c>
      <c r="X29" s="669"/>
      <c r="Y29" s="352"/>
      <c r="Z29" s="353" t="s">
        <v>173</v>
      </c>
      <c r="AA29" s="354">
        <v>2</v>
      </c>
      <c r="AB29" s="294"/>
      <c r="AC29" s="296">
        <v>47</v>
      </c>
      <c r="AD29" s="296">
        <v>47</v>
      </c>
      <c r="AE29" s="260">
        <f>+Z25*47</f>
        <v>1668.5</v>
      </c>
      <c r="AF29" s="260"/>
      <c r="AG29" s="260"/>
      <c r="AH29" s="260"/>
      <c r="AI29" s="260"/>
      <c r="AJ29" s="289"/>
      <c r="AK29" s="289"/>
      <c r="AL29" s="289"/>
      <c r="AM29" s="289"/>
      <c r="AN29" s="290"/>
      <c r="AO29" s="231"/>
      <c r="AP29" s="290"/>
      <c r="AQ29" s="291"/>
      <c r="AR29" s="292"/>
      <c r="AS29" s="290"/>
      <c r="AT29" s="290"/>
      <c r="AU29" s="293"/>
      <c r="AV29" s="292"/>
      <c r="AX29" s="237"/>
      <c r="AY29" s="237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37"/>
      <c r="BO29" s="272"/>
      <c r="BP29" s="292"/>
      <c r="BQ29" s="272"/>
      <c r="BR29" s="272"/>
      <c r="BS29" s="292"/>
      <c r="BT29" s="292"/>
      <c r="BU29" s="292"/>
      <c r="BV29" s="292"/>
      <c r="BW29" s="292"/>
      <c r="BX29" s="292"/>
      <c r="BY29" s="272"/>
      <c r="CD29" s="237"/>
      <c r="CE29" s="237"/>
      <c r="CF29" s="237"/>
      <c r="CG29" s="237"/>
      <c r="CH29" s="237"/>
      <c r="CI29" s="237"/>
      <c r="CJ29" s="237"/>
      <c r="CK29" s="237"/>
      <c r="CL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7"/>
      <c r="EL29" s="237"/>
      <c r="EM29" s="237"/>
      <c r="EN29" s="237"/>
      <c r="EO29" s="237"/>
      <c r="EP29" s="237"/>
      <c r="EQ29" s="237"/>
      <c r="ER29" s="237"/>
      <c r="ES29" s="237"/>
      <c r="ET29" s="237"/>
      <c r="EU29" s="237"/>
      <c r="EV29" s="237"/>
      <c r="EW29" s="237"/>
      <c r="EX29" s="237"/>
      <c r="EY29" s="237"/>
      <c r="EZ29" s="237"/>
      <c r="FA29" s="237"/>
      <c r="FB29" s="237"/>
      <c r="FC29" s="237"/>
      <c r="FD29" s="237"/>
      <c r="FE29" s="237"/>
      <c r="FF29" s="237"/>
      <c r="FG29" s="237"/>
      <c r="FH29" s="237"/>
      <c r="FI29" s="237"/>
      <c r="FJ29" s="237"/>
      <c r="FK29" s="237"/>
      <c r="FL29" s="237"/>
    </row>
    <row r="30" spans="1:169" s="234" customFormat="1" ht="15.75">
      <c r="A30" s="622" t="s">
        <v>151</v>
      </c>
      <c r="B30" s="623"/>
      <c r="C30" s="585"/>
      <c r="D30" s="586"/>
      <c r="E30" s="586"/>
      <c r="F30" s="586"/>
      <c r="G30" s="586"/>
      <c r="H30" s="586"/>
      <c r="I30" s="586"/>
      <c r="J30" s="586"/>
      <c r="K30" s="587"/>
      <c r="L30" s="588">
        <v>13800</v>
      </c>
      <c r="M30" s="728"/>
      <c r="N30" s="707" t="s">
        <v>169</v>
      </c>
      <c r="O30" s="708"/>
      <c r="P30" s="355">
        <v>4.7E-2</v>
      </c>
      <c r="Q30" s="356">
        <v>0.8</v>
      </c>
      <c r="R30" s="348"/>
      <c r="S30" s="348"/>
      <c r="T30" s="679" t="s">
        <v>257</v>
      </c>
      <c r="U30" s="680"/>
      <c r="V30" s="681"/>
      <c r="W30" s="670">
        <f>W29/CM30</f>
        <v>0.28054582996678334</v>
      </c>
      <c r="X30" s="671"/>
      <c r="Y30" s="357"/>
      <c r="Z30" s="358" t="s">
        <v>53</v>
      </c>
      <c r="AA30" s="359">
        <f>AA29/F44</f>
        <v>6.8965517241379309E-2</v>
      </c>
      <c r="AB30" s="294"/>
      <c r="AC30" s="297">
        <f>SUM(F25:I25)*($AC$29)+SUM(B25:E25)*$AD$29</f>
        <v>922.1400000000001</v>
      </c>
      <c r="AD30" s="297">
        <f>AJ25*AD29+AC29*AL25</f>
        <v>26228.819999999996</v>
      </c>
      <c r="AE30" s="293">
        <f>X25</f>
        <v>15.719999999999999</v>
      </c>
      <c r="AF30" s="260"/>
      <c r="AG30" s="260"/>
      <c r="AH30" s="260"/>
      <c r="AI30" s="260"/>
      <c r="AJ30" s="289"/>
      <c r="AK30" s="289"/>
      <c r="AL30" s="289"/>
      <c r="AM30" s="289"/>
      <c r="AN30" s="290"/>
      <c r="AO30" s="231"/>
      <c r="AP30" s="290"/>
      <c r="AQ30" s="291"/>
      <c r="AR30" s="292"/>
      <c r="AS30" s="290"/>
      <c r="AT30" s="290"/>
      <c r="AU30" s="293"/>
      <c r="AV30" s="292"/>
      <c r="AX30" s="237"/>
      <c r="AY30" s="237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37"/>
      <c r="BO30" s="272"/>
      <c r="BP30" s="292"/>
      <c r="BQ30" s="272"/>
      <c r="BR30" s="272"/>
      <c r="BS30" s="292"/>
      <c r="BT30" s="292"/>
      <c r="BU30" s="292"/>
      <c r="BV30" s="292"/>
      <c r="BW30" s="292"/>
      <c r="BX30" s="292"/>
      <c r="BY30" s="272"/>
      <c r="CF30" s="237"/>
      <c r="CG30" s="237"/>
      <c r="CH30" s="237"/>
      <c r="CI30" s="237"/>
      <c r="CJ30" s="237"/>
      <c r="CK30" s="237"/>
      <c r="CL30" s="237"/>
      <c r="CM30" s="297">
        <f>SUM(F25:I25)*($AC$29)*2+SUM(B25:E25)*($AD$29)*5</f>
        <v>3341.7000000000003</v>
      </c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7"/>
      <c r="EL30" s="237"/>
      <c r="EM30" s="237"/>
      <c r="EN30" s="237"/>
      <c r="EO30" s="237"/>
      <c r="EP30" s="237"/>
      <c r="EQ30" s="237"/>
      <c r="ER30" s="237"/>
      <c r="ES30" s="237"/>
      <c r="ET30" s="237"/>
      <c r="EU30" s="237"/>
      <c r="EV30" s="237"/>
      <c r="EW30" s="237"/>
      <c r="EX30" s="237"/>
      <c r="EY30" s="237"/>
      <c r="EZ30" s="237"/>
      <c r="FA30" s="237"/>
      <c r="FB30" s="237"/>
      <c r="FC30" s="237"/>
      <c r="FD30" s="237"/>
      <c r="FE30" s="237"/>
      <c r="FF30" s="237"/>
      <c r="FG30" s="237"/>
      <c r="FH30" s="237"/>
      <c r="FI30" s="237"/>
      <c r="FJ30" s="237"/>
      <c r="FK30" s="237"/>
      <c r="FL30" s="237"/>
    </row>
    <row r="31" spans="1:169" s="234" customFormat="1" ht="15.75">
      <c r="A31" s="713" t="s">
        <v>166</v>
      </c>
      <c r="B31" s="714"/>
      <c r="C31" s="735"/>
      <c r="D31" s="735"/>
      <c r="E31" s="735"/>
      <c r="F31" s="735"/>
      <c r="G31" s="735"/>
      <c r="H31" s="735"/>
      <c r="I31" s="735"/>
      <c r="J31" s="735"/>
      <c r="K31" s="735"/>
      <c r="L31" s="714"/>
      <c r="M31" s="714"/>
      <c r="N31" s="714"/>
      <c r="O31" s="714"/>
      <c r="P31" s="714"/>
      <c r="Q31" s="714"/>
      <c r="R31" s="714"/>
      <c r="S31" s="714"/>
      <c r="T31" s="714"/>
      <c r="U31" s="714"/>
      <c r="V31" s="714"/>
      <c r="W31" s="714"/>
      <c r="X31" s="714"/>
      <c r="Y31" s="714"/>
      <c r="Z31" s="714"/>
      <c r="AA31" s="715"/>
      <c r="AB31" s="260"/>
      <c r="AC31" s="260"/>
      <c r="AD31" s="260"/>
      <c r="AE31" s="260"/>
      <c r="AF31" s="260"/>
      <c r="AG31" s="260"/>
      <c r="AH31" s="260"/>
      <c r="AI31" s="289"/>
      <c r="AJ31" s="289"/>
      <c r="AK31" s="289"/>
      <c r="AL31" s="289"/>
      <c r="AM31" s="290"/>
      <c r="AN31" s="231"/>
      <c r="AO31" s="290"/>
      <c r="AP31" s="291"/>
      <c r="AQ31" s="292"/>
      <c r="AR31" s="290"/>
      <c r="AS31" s="290"/>
      <c r="AT31" s="293"/>
      <c r="AU31" s="292"/>
      <c r="AW31" s="237"/>
      <c r="AX31" s="237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37"/>
      <c r="BN31" s="272"/>
      <c r="BO31" s="292"/>
      <c r="BP31" s="272"/>
      <c r="BQ31" s="272"/>
      <c r="BR31" s="292"/>
      <c r="BS31" s="292"/>
      <c r="BT31" s="292"/>
      <c r="BU31" s="292"/>
      <c r="BV31" s="292"/>
      <c r="BW31" s="292"/>
      <c r="BX31" s="272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7"/>
      <c r="EL31" s="237"/>
      <c r="EM31" s="237"/>
      <c r="EN31" s="237"/>
      <c r="EO31" s="237"/>
      <c r="EP31" s="237"/>
      <c r="EQ31" s="237"/>
      <c r="ER31" s="237"/>
      <c r="ES31" s="237"/>
      <c r="ET31" s="237"/>
      <c r="EU31" s="237"/>
      <c r="EV31" s="237"/>
      <c r="EW31" s="237"/>
      <c r="EX31" s="237"/>
      <c r="EY31" s="237"/>
      <c r="EZ31" s="237"/>
      <c r="FA31" s="237"/>
      <c r="FB31" s="237"/>
      <c r="FC31" s="237"/>
      <c r="FD31" s="237"/>
      <c r="FE31" s="237"/>
      <c r="FF31" s="237"/>
      <c r="FG31" s="237"/>
      <c r="FH31" s="237"/>
      <c r="FI31" s="237"/>
      <c r="FJ31" s="237"/>
      <c r="FK31" s="237"/>
    </row>
    <row r="32" spans="1:169" s="234" customFormat="1" ht="15" customHeight="1">
      <c r="A32" s="733" t="s">
        <v>154</v>
      </c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606"/>
      <c r="O32" s="734" t="s">
        <v>153</v>
      </c>
      <c r="P32" s="734"/>
      <c r="Q32" s="734"/>
      <c r="R32" s="734"/>
      <c r="S32" s="734"/>
      <c r="T32" s="734"/>
      <c r="U32" s="678"/>
      <c r="V32" s="606"/>
      <c r="W32" s="676" t="s">
        <v>175</v>
      </c>
      <c r="X32" s="677"/>
      <c r="Y32" s="677"/>
      <c r="Z32" s="677"/>
      <c r="AA32" s="678"/>
      <c r="AB32" s="298"/>
      <c r="AC32" s="298"/>
      <c r="AD32" s="299"/>
      <c r="AE32" s="260"/>
      <c r="AF32" s="260"/>
      <c r="AG32" s="260"/>
      <c r="AH32" s="260"/>
      <c r="AI32" s="260"/>
      <c r="AJ32" s="260"/>
      <c r="AK32" s="289"/>
      <c r="AL32" s="289"/>
      <c r="AM32" s="289"/>
      <c r="AN32" s="289"/>
      <c r="AO32" s="290"/>
      <c r="AP32" s="231"/>
      <c r="AQ32" s="290"/>
      <c r="AR32" s="291"/>
      <c r="AS32" s="292"/>
      <c r="AT32" s="290"/>
      <c r="AU32" s="290"/>
      <c r="AV32" s="293"/>
      <c r="AW32" s="292"/>
      <c r="AY32" s="237"/>
      <c r="AZ32" s="237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37"/>
      <c r="BP32" s="272"/>
      <c r="BQ32" s="292"/>
      <c r="BR32" s="272"/>
      <c r="BS32" s="272"/>
      <c r="BT32" s="292"/>
      <c r="BU32" s="292"/>
      <c r="BV32" s="292"/>
      <c r="BW32" s="292"/>
      <c r="BX32" s="292"/>
      <c r="BY32" s="292"/>
      <c r="BZ32" s="272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7"/>
      <c r="EL32" s="237"/>
      <c r="EM32" s="237"/>
      <c r="EN32" s="237"/>
      <c r="EO32" s="237"/>
      <c r="EP32" s="237"/>
      <c r="EQ32" s="237"/>
      <c r="ER32" s="237"/>
      <c r="ES32" s="237"/>
      <c r="ET32" s="237"/>
      <c r="EU32" s="237"/>
      <c r="EV32" s="237"/>
      <c r="EW32" s="237"/>
      <c r="EX32" s="237"/>
      <c r="EY32" s="237"/>
      <c r="EZ32" s="237"/>
      <c r="FA32" s="237"/>
      <c r="FB32" s="237"/>
      <c r="FC32" s="237"/>
      <c r="FD32" s="237"/>
      <c r="FE32" s="237"/>
      <c r="FF32" s="237"/>
      <c r="FG32" s="237"/>
      <c r="FH32" s="237"/>
      <c r="FI32" s="237"/>
      <c r="FJ32" s="237"/>
      <c r="FK32" s="237"/>
      <c r="FL32" s="237"/>
      <c r="FM32" s="237"/>
    </row>
    <row r="33" spans="1:172" s="234" customFormat="1" ht="46.5" customHeight="1">
      <c r="A33" s="690" t="s">
        <v>238</v>
      </c>
      <c r="B33" s="691"/>
      <c r="C33" s="691"/>
      <c r="D33" s="691"/>
      <c r="E33" s="692"/>
      <c r="F33" s="677" t="s">
        <v>281</v>
      </c>
      <c r="G33" s="677"/>
      <c r="H33" s="769" t="s">
        <v>239</v>
      </c>
      <c r="I33" s="703"/>
      <c r="J33" s="703"/>
      <c r="K33" s="704"/>
      <c r="L33" s="677" t="s">
        <v>184</v>
      </c>
      <c r="M33" s="677"/>
      <c r="N33" s="607"/>
      <c r="O33" s="703" t="s">
        <v>240</v>
      </c>
      <c r="P33" s="703"/>
      <c r="Q33" s="703"/>
      <c r="R33" s="703"/>
      <c r="S33" s="703"/>
      <c r="T33" s="703"/>
      <c r="U33" s="704"/>
      <c r="V33" s="609"/>
      <c r="W33" s="360" t="s">
        <v>187</v>
      </c>
      <c r="X33" s="361" t="s">
        <v>262</v>
      </c>
      <c r="Y33" s="596" t="s">
        <v>263</v>
      </c>
      <c r="Z33" s="362" t="s">
        <v>150</v>
      </c>
      <c r="AA33" s="362" t="s">
        <v>46</v>
      </c>
      <c r="AB33" s="295"/>
      <c r="AC33" s="296"/>
      <c r="AD33" s="296"/>
      <c r="AE33" s="237"/>
      <c r="AF33" s="260"/>
      <c r="AG33" s="260"/>
      <c r="AH33" s="260"/>
      <c r="AI33" s="260"/>
      <c r="AJ33" s="260"/>
      <c r="AK33" s="260"/>
      <c r="AL33" s="260"/>
      <c r="AM33" s="289"/>
      <c r="AN33" s="289"/>
      <c r="AO33" s="289"/>
      <c r="AP33" s="289"/>
      <c r="AQ33" s="290"/>
      <c r="AR33" s="231"/>
      <c r="AS33" s="290"/>
      <c r="AT33" s="291"/>
      <c r="AU33" s="292"/>
      <c r="AV33" s="290"/>
      <c r="AW33" s="290"/>
      <c r="AX33" s="293"/>
      <c r="AY33" s="292"/>
      <c r="BA33" s="237"/>
      <c r="BB33" s="237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37"/>
      <c r="BR33" s="272"/>
      <c r="BS33" s="292"/>
      <c r="BT33" s="272"/>
      <c r="BU33" s="272"/>
      <c r="BV33" s="292"/>
      <c r="BW33" s="292"/>
      <c r="BX33" s="292"/>
      <c r="BY33" s="292"/>
      <c r="BZ33" s="292"/>
      <c r="CA33" s="292"/>
      <c r="CB33" s="272"/>
      <c r="CG33" s="237"/>
      <c r="CH33" s="237"/>
      <c r="CI33" s="237"/>
      <c r="CJ33" s="237"/>
      <c r="CK33" s="237"/>
      <c r="CL33" s="237"/>
      <c r="CM33" s="595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7"/>
      <c r="EL33" s="237"/>
      <c r="EM33" s="237"/>
      <c r="EN33" s="237"/>
      <c r="EO33" s="237"/>
      <c r="EP33" s="237"/>
      <c r="EQ33" s="237"/>
      <c r="ER33" s="237"/>
      <c r="ES33" s="237"/>
      <c r="ET33" s="237"/>
      <c r="EU33" s="237"/>
      <c r="EV33" s="237"/>
      <c r="EW33" s="237"/>
      <c r="EX33" s="237"/>
      <c r="EY33" s="237"/>
      <c r="EZ33" s="237"/>
      <c r="FA33" s="237"/>
      <c r="FB33" s="237"/>
      <c r="FC33" s="237"/>
      <c r="FD33" s="237"/>
      <c r="FE33" s="237"/>
      <c r="FF33" s="237"/>
      <c r="FG33" s="237"/>
      <c r="FH33" s="237"/>
      <c r="FI33" s="237"/>
      <c r="FJ33" s="237"/>
      <c r="FK33" s="237"/>
      <c r="FL33" s="237"/>
      <c r="FM33" s="237"/>
      <c r="FN33" s="237"/>
      <c r="FO33" s="237"/>
    </row>
    <row r="34" spans="1:172" s="234" customFormat="1" ht="21.75" customHeight="1">
      <c r="A34" s="693"/>
      <c r="B34" s="694"/>
      <c r="C34" s="694"/>
      <c r="D34" s="694"/>
      <c r="E34" s="695"/>
      <c r="F34" s="711"/>
      <c r="G34" s="711"/>
      <c r="H34" s="363" t="s">
        <v>157</v>
      </c>
      <c r="I34" s="364" t="s">
        <v>158</v>
      </c>
      <c r="J34" s="364" t="s">
        <v>159</v>
      </c>
      <c r="K34" s="365" t="s">
        <v>162</v>
      </c>
      <c r="L34" s="711"/>
      <c r="M34" s="711"/>
      <c r="N34" s="607"/>
      <c r="O34" s="366"/>
      <c r="P34" s="367"/>
      <c r="Q34" s="363" t="str">
        <f>H34</f>
        <v>Under 30 %</v>
      </c>
      <c r="R34" s="364" t="str">
        <f>I34</f>
        <v>30 til 50%</v>
      </c>
      <c r="S34" s="364" t="str">
        <f>J34</f>
        <v>50 til 80 %</v>
      </c>
      <c r="T34" s="365" t="str">
        <f>K34</f>
        <v>Over 80 %</v>
      </c>
      <c r="U34" s="368" t="s">
        <v>46</v>
      </c>
      <c r="V34" s="607"/>
      <c r="W34" s="369">
        <f>X25</f>
        <v>15.719999999999999</v>
      </c>
      <c r="X34" s="370">
        <f>(AR25)/$Z$25</f>
        <v>1.7291999999999998</v>
      </c>
      <c r="Y34" s="370">
        <f>(AS25)/$Z$25</f>
        <v>0.78599999999999992</v>
      </c>
      <c r="Z34" s="370">
        <f>(+AT25)/$Z$25</f>
        <v>0.88732394366197187</v>
      </c>
      <c r="AA34" s="371">
        <f>SUM(W34:Z34)</f>
        <v>19.122523943661971</v>
      </c>
      <c r="AB34" s="300"/>
      <c r="AC34" s="295"/>
      <c r="AD34" s="296"/>
      <c r="AE34" s="296"/>
      <c r="AF34" s="237"/>
      <c r="AG34" s="260"/>
      <c r="AH34" s="260"/>
      <c r="AI34" s="260"/>
      <c r="AJ34" s="260"/>
      <c r="AK34" s="260"/>
      <c r="AL34" s="260"/>
      <c r="AM34" s="260"/>
      <c r="AN34" s="289"/>
      <c r="AO34" s="289"/>
      <c r="AP34" s="289"/>
      <c r="AQ34" s="289"/>
      <c r="AR34" s="290"/>
      <c r="AS34" s="231"/>
      <c r="AT34" s="290"/>
      <c r="AU34" s="291"/>
      <c r="AV34" s="292"/>
      <c r="AW34" s="290"/>
      <c r="AX34" s="290"/>
      <c r="AY34" s="293"/>
      <c r="AZ34" s="292"/>
      <c r="BB34" s="237"/>
      <c r="BC34" s="237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37"/>
      <c r="BS34" s="272"/>
      <c r="BT34" s="292"/>
      <c r="BU34" s="272"/>
      <c r="BV34" s="272"/>
      <c r="BW34" s="292"/>
      <c r="BX34" s="292"/>
      <c r="BY34" s="292"/>
      <c r="BZ34" s="292"/>
      <c r="CA34" s="292"/>
      <c r="CB34" s="292"/>
      <c r="CC34" s="272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7"/>
      <c r="EL34" s="237"/>
      <c r="EM34" s="237"/>
      <c r="EN34" s="237"/>
      <c r="EO34" s="237"/>
      <c r="EP34" s="237"/>
      <c r="EQ34" s="237"/>
      <c r="ER34" s="237"/>
      <c r="ES34" s="237"/>
      <c r="ET34" s="237"/>
      <c r="EU34" s="237"/>
      <c r="EV34" s="237"/>
      <c r="EW34" s="237"/>
      <c r="EX34" s="237"/>
      <c r="EY34" s="237"/>
      <c r="EZ34" s="237"/>
      <c r="FA34" s="237"/>
      <c r="FB34" s="237"/>
      <c r="FC34" s="237"/>
      <c r="FD34" s="237"/>
      <c r="FE34" s="237"/>
      <c r="FF34" s="237"/>
      <c r="FG34" s="237"/>
      <c r="FH34" s="237"/>
      <c r="FI34" s="237"/>
      <c r="FJ34" s="237"/>
      <c r="FK34" s="237"/>
      <c r="FL34" s="237"/>
      <c r="FM34" s="237"/>
      <c r="FN34" s="237"/>
      <c r="FO34" s="237"/>
      <c r="FP34" s="237"/>
    </row>
    <row r="35" spans="1:172" s="234" customFormat="1" ht="15.75">
      <c r="A35" s="696">
        <v>3</v>
      </c>
      <c r="B35" s="697"/>
      <c r="C35" s="697"/>
      <c r="D35" s="697"/>
      <c r="E35" s="698"/>
      <c r="F35" s="729">
        <v>16</v>
      </c>
      <c r="G35" s="729"/>
      <c r="H35" s="372">
        <v>1</v>
      </c>
      <c r="I35" s="373">
        <v>2</v>
      </c>
      <c r="J35" s="373"/>
      <c r="K35" s="374">
        <f t="shared" ref="K35:K39" si="3">F35-SUM(H35:J35)</f>
        <v>13</v>
      </c>
      <c r="L35" s="675">
        <f>F35*2/(A35+1E-55)</f>
        <v>10.666666666666666</v>
      </c>
      <c r="M35" s="675"/>
      <c r="N35" s="607"/>
      <c r="O35" s="759" t="s">
        <v>163</v>
      </c>
      <c r="P35" s="760"/>
      <c r="Q35" s="372">
        <v>2</v>
      </c>
      <c r="R35" s="373">
        <v>2</v>
      </c>
      <c r="S35" s="373">
        <v>0</v>
      </c>
      <c r="T35" s="375">
        <v>14</v>
      </c>
      <c r="U35" s="376">
        <f>SUM(Q35:T35)</f>
        <v>18</v>
      </c>
      <c r="V35" s="607"/>
      <c r="W35" s="679"/>
      <c r="X35" s="680"/>
      <c r="Y35" s="680"/>
      <c r="Z35" s="680"/>
      <c r="AA35" s="681"/>
      <c r="AB35" s="295"/>
      <c r="AC35" s="296"/>
      <c r="AD35" s="296"/>
      <c r="AE35" s="237"/>
      <c r="AF35" s="260"/>
      <c r="AG35" s="260"/>
      <c r="AH35" s="260"/>
      <c r="AI35" s="260"/>
      <c r="AJ35" s="260"/>
      <c r="AK35" s="260"/>
      <c r="AL35" s="260"/>
      <c r="AM35" s="289"/>
      <c r="AN35" s="289"/>
      <c r="AO35" s="289"/>
      <c r="AP35" s="289"/>
      <c r="AQ35" s="290"/>
      <c r="AR35" s="231"/>
      <c r="AS35" s="290"/>
      <c r="AT35" s="291"/>
      <c r="AU35" s="292"/>
      <c r="AV35" s="290"/>
      <c r="AW35" s="290"/>
      <c r="AX35" s="293"/>
      <c r="AY35" s="292"/>
      <c r="BA35" s="237"/>
      <c r="BB35" s="237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37"/>
      <c r="BR35" s="272"/>
      <c r="BS35" s="292"/>
      <c r="BT35" s="272"/>
      <c r="BU35" s="272"/>
      <c r="BV35" s="292"/>
      <c r="BW35" s="292"/>
      <c r="BX35" s="292"/>
      <c r="BY35" s="292"/>
      <c r="BZ35" s="292"/>
      <c r="CA35" s="292"/>
      <c r="CB35" s="272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7"/>
      <c r="EL35" s="237"/>
      <c r="EM35" s="237"/>
      <c r="EN35" s="237"/>
      <c r="EO35" s="237"/>
      <c r="EP35" s="237"/>
      <c r="EQ35" s="237"/>
      <c r="ER35" s="237"/>
      <c r="ES35" s="237"/>
      <c r="ET35" s="237"/>
      <c r="EU35" s="237"/>
      <c r="EV35" s="237"/>
      <c r="EW35" s="237"/>
      <c r="EX35" s="237"/>
      <c r="EY35" s="237"/>
      <c r="EZ35" s="237"/>
      <c r="FA35" s="237"/>
      <c r="FB35" s="237"/>
      <c r="FC35" s="237"/>
      <c r="FD35" s="237"/>
      <c r="FE35" s="237"/>
      <c r="FF35" s="237"/>
      <c r="FG35" s="237"/>
      <c r="FH35" s="237"/>
      <c r="FI35" s="237"/>
      <c r="FJ35" s="237"/>
      <c r="FK35" s="237"/>
      <c r="FL35" s="237"/>
      <c r="FM35" s="237"/>
      <c r="FN35" s="237"/>
      <c r="FO35" s="237"/>
    </row>
    <row r="36" spans="1:172" s="234" customFormat="1" ht="15" customHeight="1">
      <c r="A36" s="696">
        <v>2</v>
      </c>
      <c r="B36" s="697"/>
      <c r="C36" s="697"/>
      <c r="D36" s="697"/>
      <c r="E36" s="698"/>
      <c r="F36" s="729">
        <v>3</v>
      </c>
      <c r="G36" s="729"/>
      <c r="H36" s="372">
        <v>2</v>
      </c>
      <c r="I36" s="373"/>
      <c r="J36" s="373"/>
      <c r="K36" s="374">
        <f t="shared" si="3"/>
        <v>1</v>
      </c>
      <c r="L36" s="675">
        <f t="shared" ref="L36:L38" si="4">F36*2/(A36+1E-55)</f>
        <v>3</v>
      </c>
      <c r="M36" s="675"/>
      <c r="N36" s="607"/>
      <c r="O36" s="699" t="s">
        <v>164</v>
      </c>
      <c r="P36" s="700"/>
      <c r="Q36" s="377"/>
      <c r="R36" s="378"/>
      <c r="S36" s="378"/>
      <c r="T36" s="374"/>
      <c r="U36" s="375">
        <v>3</v>
      </c>
      <c r="V36" s="607"/>
      <c r="W36" s="676" t="s">
        <v>272</v>
      </c>
      <c r="X36" s="677"/>
      <c r="Y36" s="677"/>
      <c r="Z36" s="677"/>
      <c r="AA36" s="709"/>
      <c r="AB36" s="295"/>
      <c r="AC36" s="296"/>
      <c r="AD36" s="296"/>
      <c r="AE36" s="237"/>
      <c r="AF36" s="260"/>
      <c r="AG36" s="260"/>
      <c r="AH36" s="260"/>
      <c r="AI36" s="260"/>
      <c r="AJ36" s="260"/>
      <c r="AK36" s="260"/>
      <c r="AL36" s="260"/>
      <c r="AM36" s="289"/>
      <c r="AN36" s="289"/>
      <c r="AO36" s="289"/>
      <c r="AP36" s="289"/>
      <c r="AQ36" s="290"/>
      <c r="AR36" s="231"/>
      <c r="AS36" s="290"/>
      <c r="AT36" s="291"/>
      <c r="AU36" s="292"/>
      <c r="AV36" s="290"/>
      <c r="AW36" s="290"/>
      <c r="AX36" s="293"/>
      <c r="AY36" s="292"/>
      <c r="BA36" s="237"/>
      <c r="BB36" s="237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37"/>
      <c r="BR36" s="272"/>
      <c r="BS36" s="292"/>
      <c r="BT36" s="272"/>
      <c r="BU36" s="272"/>
      <c r="BV36" s="292"/>
      <c r="BW36" s="292"/>
      <c r="BX36" s="292"/>
      <c r="BY36" s="292"/>
      <c r="BZ36" s="292"/>
      <c r="CA36" s="292"/>
      <c r="CB36" s="272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7"/>
      <c r="EL36" s="237"/>
      <c r="EM36" s="237"/>
      <c r="EN36" s="237"/>
      <c r="EO36" s="237"/>
      <c r="EP36" s="237"/>
      <c r="EQ36" s="237"/>
      <c r="ER36" s="237"/>
      <c r="ES36" s="237"/>
      <c r="ET36" s="237"/>
      <c r="EU36" s="237"/>
      <c r="EV36" s="237"/>
      <c r="EW36" s="237"/>
      <c r="EX36" s="237"/>
      <c r="EY36" s="237"/>
      <c r="EZ36" s="237"/>
      <c r="FA36" s="237"/>
      <c r="FB36" s="237"/>
      <c r="FC36" s="237"/>
      <c r="FD36" s="237"/>
      <c r="FE36" s="237"/>
      <c r="FF36" s="237"/>
      <c r="FG36" s="237"/>
      <c r="FH36" s="237"/>
      <c r="FI36" s="237"/>
      <c r="FJ36" s="237"/>
      <c r="FK36" s="237"/>
      <c r="FL36" s="237"/>
      <c r="FM36" s="237"/>
      <c r="FN36" s="237"/>
      <c r="FO36" s="237"/>
    </row>
    <row r="37" spans="1:172" s="234" customFormat="1" ht="15.75">
      <c r="A37" s="696">
        <v>6</v>
      </c>
      <c r="B37" s="697"/>
      <c r="C37" s="697"/>
      <c r="D37" s="697"/>
      <c r="E37" s="698"/>
      <c r="F37" s="729">
        <v>1</v>
      </c>
      <c r="G37" s="729"/>
      <c r="H37" s="372">
        <v>1</v>
      </c>
      <c r="I37" s="373"/>
      <c r="J37" s="373"/>
      <c r="K37" s="374">
        <f t="shared" si="3"/>
        <v>0</v>
      </c>
      <c r="L37" s="675">
        <f t="shared" si="4"/>
        <v>0.33333333333333331</v>
      </c>
      <c r="M37" s="675"/>
      <c r="N37" s="607"/>
      <c r="O37" s="701" t="s">
        <v>46</v>
      </c>
      <c r="P37" s="702"/>
      <c r="Q37" s="379">
        <f>SUM(Q35:Q36)</f>
        <v>2</v>
      </c>
      <c r="R37" s="380">
        <f t="shared" ref="R37:U37" si="5">SUM(R35:R36)</f>
        <v>2</v>
      </c>
      <c r="S37" s="380">
        <f t="shared" si="5"/>
        <v>0</v>
      </c>
      <c r="T37" s="381">
        <f t="shared" si="5"/>
        <v>14</v>
      </c>
      <c r="U37" s="382">
        <f t="shared" si="5"/>
        <v>21</v>
      </c>
      <c r="V37" s="607"/>
      <c r="W37" s="710"/>
      <c r="X37" s="711"/>
      <c r="Y37" s="711"/>
      <c r="Z37" s="711"/>
      <c r="AA37" s="712"/>
      <c r="AB37" s="295"/>
      <c r="AC37" s="296"/>
      <c r="AD37" s="296"/>
      <c r="AE37" s="237"/>
      <c r="AF37" s="260"/>
      <c r="AG37" s="260"/>
      <c r="AH37" s="260"/>
      <c r="AI37" s="260"/>
      <c r="AJ37" s="260"/>
      <c r="AK37" s="260"/>
      <c r="AL37" s="260"/>
      <c r="AM37" s="289"/>
      <c r="AN37" s="289"/>
      <c r="AO37" s="289"/>
      <c r="AP37" s="289"/>
      <c r="AQ37" s="290"/>
      <c r="AR37" s="231"/>
      <c r="AS37" s="290"/>
      <c r="AT37" s="291"/>
      <c r="AU37" s="292"/>
      <c r="AV37" s="290"/>
      <c r="AW37" s="290"/>
      <c r="AX37" s="293"/>
      <c r="AY37" s="292"/>
      <c r="BA37" s="237"/>
      <c r="BB37" s="237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37"/>
      <c r="BR37" s="272"/>
      <c r="BS37" s="292"/>
      <c r="BT37" s="272"/>
      <c r="BU37" s="272"/>
      <c r="BV37" s="292"/>
      <c r="BW37" s="292"/>
      <c r="BX37" s="292"/>
      <c r="BY37" s="292"/>
      <c r="BZ37" s="292"/>
      <c r="CA37" s="292"/>
      <c r="CB37" s="272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7"/>
      <c r="EL37" s="237"/>
      <c r="EM37" s="237"/>
      <c r="EN37" s="237"/>
      <c r="EO37" s="237"/>
      <c r="EP37" s="237"/>
      <c r="EQ37" s="237"/>
      <c r="ER37" s="237"/>
      <c r="ES37" s="237"/>
      <c r="ET37" s="237"/>
      <c r="EU37" s="237"/>
      <c r="EV37" s="237"/>
      <c r="EW37" s="237"/>
      <c r="EX37" s="237"/>
      <c r="EY37" s="237"/>
      <c r="EZ37" s="237"/>
      <c r="FA37" s="237"/>
      <c r="FB37" s="237"/>
      <c r="FC37" s="237"/>
      <c r="FD37" s="237"/>
      <c r="FE37" s="237"/>
      <c r="FF37" s="237"/>
      <c r="FG37" s="237"/>
      <c r="FH37" s="237"/>
      <c r="FI37" s="237"/>
      <c r="FJ37" s="237"/>
      <c r="FK37" s="237"/>
      <c r="FL37" s="237"/>
      <c r="FM37" s="237"/>
      <c r="FN37" s="237"/>
      <c r="FO37" s="237"/>
    </row>
    <row r="38" spans="1:172" s="234" customFormat="1" ht="15.75">
      <c r="A38" s="696">
        <v>4</v>
      </c>
      <c r="B38" s="697"/>
      <c r="C38" s="697"/>
      <c r="D38" s="697"/>
      <c r="E38" s="698"/>
      <c r="F38" s="729"/>
      <c r="G38" s="729"/>
      <c r="H38" s="372"/>
      <c r="I38" s="373"/>
      <c r="J38" s="373"/>
      <c r="K38" s="374">
        <f t="shared" si="3"/>
        <v>0</v>
      </c>
      <c r="L38" s="675">
        <f t="shared" si="4"/>
        <v>0</v>
      </c>
      <c r="M38" s="675"/>
      <c r="N38" s="607"/>
      <c r="O38" s="680" t="s">
        <v>165</v>
      </c>
      <c r="P38" s="680"/>
      <c r="Q38" s="680"/>
      <c r="R38" s="680"/>
      <c r="S38" s="680"/>
      <c r="T38" s="680"/>
      <c r="U38" s="681"/>
      <c r="V38" s="607"/>
      <c r="W38" s="730">
        <f>(X25-AA41)/F40</f>
        <v>0.74999999999999989</v>
      </c>
      <c r="X38" s="731"/>
      <c r="Y38" s="731"/>
      <c r="Z38" s="731"/>
      <c r="AA38" s="732"/>
      <c r="AB38" s="295"/>
      <c r="AC38" s="296"/>
      <c r="AD38" s="296"/>
      <c r="AE38" s="237"/>
      <c r="AF38" s="260"/>
      <c r="AG38" s="260"/>
      <c r="AH38" s="260"/>
      <c r="AI38" s="260"/>
      <c r="AJ38" s="260"/>
      <c r="AK38" s="260"/>
      <c r="AL38" s="260"/>
      <c r="AM38" s="289"/>
      <c r="AN38" s="289"/>
      <c r="AO38" s="289"/>
      <c r="AP38" s="289"/>
      <c r="AQ38" s="290"/>
      <c r="AR38" s="231"/>
      <c r="AS38" s="290"/>
      <c r="AT38" s="291"/>
      <c r="AU38" s="292"/>
      <c r="AV38" s="290"/>
      <c r="AW38" s="290"/>
      <c r="AX38" s="293"/>
      <c r="AY38" s="292"/>
      <c r="BA38" s="237"/>
      <c r="BB38" s="237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37"/>
      <c r="BR38" s="272"/>
      <c r="BS38" s="292"/>
      <c r="BT38" s="272"/>
      <c r="BU38" s="272"/>
      <c r="BV38" s="292"/>
      <c r="BW38" s="292"/>
      <c r="BX38" s="292"/>
      <c r="BY38" s="292"/>
      <c r="BZ38" s="292"/>
      <c r="CA38" s="292"/>
      <c r="CB38" s="272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7"/>
      <c r="EL38" s="237"/>
      <c r="EM38" s="237"/>
      <c r="EN38" s="237"/>
      <c r="EO38" s="237"/>
      <c r="EP38" s="237"/>
      <c r="EQ38" s="237"/>
      <c r="ER38" s="237"/>
      <c r="ES38" s="237"/>
      <c r="ET38" s="237"/>
      <c r="EU38" s="237"/>
      <c r="EV38" s="237"/>
      <c r="EW38" s="237"/>
      <c r="EX38" s="237"/>
      <c r="EY38" s="237"/>
      <c r="EZ38" s="237"/>
      <c r="FA38" s="237"/>
      <c r="FB38" s="237"/>
      <c r="FC38" s="237"/>
      <c r="FD38" s="237"/>
      <c r="FE38" s="237"/>
      <c r="FF38" s="237"/>
      <c r="FG38" s="237"/>
      <c r="FH38" s="237"/>
      <c r="FI38" s="237"/>
      <c r="FJ38" s="237"/>
      <c r="FK38" s="237"/>
      <c r="FL38" s="237"/>
      <c r="FM38" s="237"/>
      <c r="FN38" s="237"/>
      <c r="FO38" s="237"/>
    </row>
    <row r="39" spans="1:172" s="234" customFormat="1" ht="15.75">
      <c r="A39" s="672" t="s">
        <v>280</v>
      </c>
      <c r="B39" s="673"/>
      <c r="C39" s="673"/>
      <c r="D39" s="673"/>
      <c r="E39" s="674"/>
      <c r="F39" s="729"/>
      <c r="G39" s="729"/>
      <c r="H39" s="372"/>
      <c r="I39" s="373"/>
      <c r="J39" s="373"/>
      <c r="K39" s="374">
        <f t="shared" si="3"/>
        <v>0</v>
      </c>
      <c r="L39" s="383"/>
      <c r="M39" s="383"/>
      <c r="N39" s="607"/>
      <c r="O39" s="384"/>
      <c r="P39" s="384"/>
      <c r="Q39" s="384"/>
      <c r="R39" s="384"/>
      <c r="S39" s="384"/>
      <c r="T39" s="384"/>
      <c r="U39" s="385"/>
      <c r="V39" s="609"/>
      <c r="W39" s="386"/>
      <c r="X39" s="386"/>
      <c r="Y39" s="386"/>
      <c r="Z39" s="386"/>
      <c r="AA39" s="386"/>
      <c r="AB39" s="295"/>
      <c r="AC39" s="296"/>
      <c r="AD39" s="296"/>
      <c r="AE39" s="237"/>
      <c r="AF39" s="260"/>
      <c r="AG39" s="260"/>
      <c r="AH39" s="260"/>
      <c r="AI39" s="260"/>
      <c r="AJ39" s="260"/>
      <c r="AK39" s="260"/>
      <c r="AL39" s="260"/>
      <c r="AM39" s="289"/>
      <c r="AN39" s="289"/>
      <c r="AO39" s="289"/>
      <c r="AP39" s="289"/>
      <c r="AQ39" s="290"/>
      <c r="AR39" s="231"/>
      <c r="AS39" s="290"/>
      <c r="AT39" s="291"/>
      <c r="AU39" s="292"/>
      <c r="AV39" s="290"/>
      <c r="AW39" s="290"/>
      <c r="AX39" s="293"/>
      <c r="AY39" s="292"/>
      <c r="BA39" s="237"/>
      <c r="BB39" s="237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37"/>
      <c r="BR39" s="272"/>
      <c r="BS39" s="292"/>
      <c r="BT39" s="272"/>
      <c r="BU39" s="272"/>
      <c r="BV39" s="292"/>
      <c r="BW39" s="292"/>
      <c r="BX39" s="292"/>
      <c r="BY39" s="292"/>
      <c r="BZ39" s="292"/>
      <c r="CA39" s="292"/>
      <c r="CB39" s="272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7"/>
      <c r="EL39" s="237"/>
      <c r="EM39" s="237"/>
      <c r="EN39" s="237"/>
      <c r="EO39" s="237"/>
      <c r="EP39" s="237"/>
      <c r="EQ39" s="237"/>
      <c r="ER39" s="237"/>
      <c r="ES39" s="237"/>
      <c r="ET39" s="237"/>
      <c r="EU39" s="237"/>
      <c r="EV39" s="237"/>
      <c r="EW39" s="237"/>
      <c r="EX39" s="237"/>
      <c r="EY39" s="237"/>
      <c r="EZ39" s="237"/>
      <c r="FA39" s="237"/>
      <c r="FB39" s="237"/>
      <c r="FC39" s="237"/>
      <c r="FD39" s="237"/>
      <c r="FE39" s="237"/>
      <c r="FF39" s="237"/>
      <c r="FG39" s="237"/>
      <c r="FH39" s="237"/>
      <c r="FI39" s="237"/>
      <c r="FJ39" s="237"/>
      <c r="FK39" s="237"/>
      <c r="FL39" s="237"/>
      <c r="FM39" s="237"/>
      <c r="FN39" s="237"/>
      <c r="FO39" s="237"/>
    </row>
    <row r="40" spans="1:172" s="234" customFormat="1" ht="15" customHeight="1">
      <c r="A40" s="679" t="s">
        <v>186</v>
      </c>
      <c r="B40" s="680"/>
      <c r="C40" s="680"/>
      <c r="D40" s="680"/>
      <c r="E40" s="681"/>
      <c r="F40" s="756">
        <f>SUM(F35:G39)</f>
        <v>20</v>
      </c>
      <c r="G40" s="757"/>
      <c r="H40" s="387">
        <f>SUM(H35:H39)</f>
        <v>4</v>
      </c>
      <c r="I40" s="388">
        <f t="shared" ref="I40:K40" si="6">SUM(I35:I39)</f>
        <v>2</v>
      </c>
      <c r="J40" s="388">
        <f t="shared" si="6"/>
        <v>0</v>
      </c>
      <c r="K40" s="389">
        <f t="shared" si="6"/>
        <v>14</v>
      </c>
      <c r="L40" s="390"/>
      <c r="M40" s="391">
        <f>SUM(L35:M38)</f>
        <v>14</v>
      </c>
      <c r="N40" s="607"/>
      <c r="O40" s="392" t="str">
        <f>O35</f>
        <v>Ansatte</v>
      </c>
      <c r="P40" s="393"/>
      <c r="Q40" s="394">
        <f>Q35/(H40+1E-24)</f>
        <v>0.5</v>
      </c>
      <c r="R40" s="394">
        <f t="shared" ref="R40:T40" si="7">R35/(I40+1E-24)</f>
        <v>1</v>
      </c>
      <c r="S40" s="394">
        <f t="shared" si="7"/>
        <v>0</v>
      </c>
      <c r="T40" s="394">
        <f t="shared" si="7"/>
        <v>1</v>
      </c>
      <c r="U40" s="395">
        <f>U35/(F40+1E-24)</f>
        <v>0.9</v>
      </c>
      <c r="V40" s="609"/>
      <c r="W40" s="352"/>
      <c r="X40" s="352"/>
      <c r="Y40" s="352"/>
      <c r="Z40" s="352"/>
      <c r="AA40" s="352"/>
      <c r="AB40" s="295"/>
      <c r="AC40" s="296"/>
      <c r="AD40" s="296"/>
      <c r="AE40" s="237"/>
      <c r="AF40" s="260"/>
      <c r="AG40" s="260"/>
      <c r="AH40" s="260"/>
      <c r="AI40" s="260"/>
      <c r="AJ40" s="260"/>
      <c r="AK40" s="260"/>
      <c r="AL40" s="260"/>
      <c r="AM40" s="289"/>
      <c r="AN40" s="289"/>
      <c r="AO40" s="289"/>
      <c r="AP40" s="289"/>
      <c r="AQ40" s="290"/>
      <c r="AR40" s="231"/>
      <c r="AS40" s="290"/>
      <c r="AT40" s="291"/>
      <c r="AU40" s="292"/>
      <c r="AV40" s="290"/>
      <c r="AW40" s="290"/>
      <c r="AX40" s="293"/>
      <c r="AY40" s="292"/>
      <c r="BA40" s="237"/>
      <c r="BB40" s="237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37"/>
      <c r="BR40" s="272"/>
      <c r="BS40" s="292"/>
      <c r="BT40" s="272"/>
      <c r="BU40" s="272"/>
      <c r="BV40" s="292"/>
      <c r="BW40" s="292"/>
      <c r="BX40" s="292"/>
      <c r="BY40" s="292"/>
      <c r="BZ40" s="292"/>
      <c r="CA40" s="292"/>
      <c r="CB40" s="272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7"/>
      <c r="EL40" s="237"/>
      <c r="EM40" s="237"/>
      <c r="EN40" s="237"/>
      <c r="EO40" s="237"/>
      <c r="EP40" s="237"/>
      <c r="EQ40" s="237"/>
      <c r="ER40" s="237"/>
      <c r="ES40" s="237"/>
      <c r="ET40" s="237"/>
      <c r="EU40" s="237"/>
      <c r="EV40" s="237"/>
      <c r="EW40" s="237"/>
      <c r="EX40" s="237"/>
      <c r="EY40" s="237"/>
      <c r="EZ40" s="237"/>
      <c r="FA40" s="237"/>
      <c r="FB40" s="237"/>
      <c r="FC40" s="237"/>
      <c r="FD40" s="237"/>
      <c r="FE40" s="237"/>
      <c r="FF40" s="237"/>
      <c r="FG40" s="237"/>
      <c r="FH40" s="237"/>
      <c r="FI40" s="237"/>
      <c r="FJ40" s="237"/>
      <c r="FK40" s="237"/>
      <c r="FL40" s="237"/>
      <c r="FM40" s="237"/>
      <c r="FN40" s="237"/>
      <c r="FO40" s="237"/>
    </row>
    <row r="41" spans="1:172" s="234" customFormat="1" ht="15" customHeight="1">
      <c r="A41" s="687" t="s">
        <v>291</v>
      </c>
      <c r="B41" s="688"/>
      <c r="C41" s="688"/>
      <c r="D41" s="688"/>
      <c r="E41" s="689"/>
      <c r="F41" s="348"/>
      <c r="H41" s="396"/>
      <c r="I41" s="397"/>
      <c r="J41" s="397"/>
      <c r="K41" s="398"/>
      <c r="L41" s="675">
        <f>-SUM(L35:L38)+L42</f>
        <v>4</v>
      </c>
      <c r="M41" s="675"/>
      <c r="N41" s="607"/>
      <c r="O41" s="352" t="str">
        <f>O36</f>
        <v>Vikarer etc</v>
      </c>
      <c r="P41" s="399"/>
      <c r="Q41" s="400"/>
      <c r="R41" s="400"/>
      <c r="S41" s="400"/>
      <c r="T41" s="400"/>
      <c r="U41" s="395">
        <f>U36/(F43+1E-27)</f>
        <v>0.33333333333333331</v>
      </c>
      <c r="V41" s="609"/>
      <c r="W41" s="616" t="s">
        <v>292</v>
      </c>
      <c r="X41" s="366"/>
      <c r="Y41" s="366"/>
      <c r="Z41" s="366"/>
      <c r="AA41" s="617">
        <v>0.72</v>
      </c>
      <c r="AB41" s="295"/>
      <c r="AC41" s="296"/>
      <c r="AD41" s="296"/>
      <c r="AE41" s="237"/>
      <c r="AF41" s="260"/>
      <c r="AG41" s="260"/>
      <c r="AH41" s="260"/>
      <c r="AI41" s="260"/>
      <c r="AJ41" s="260"/>
      <c r="AK41" s="260"/>
      <c r="AL41" s="260"/>
      <c r="AM41" s="289"/>
      <c r="AN41" s="289"/>
      <c r="AO41" s="289"/>
      <c r="AP41" s="289"/>
      <c r="AQ41" s="290"/>
      <c r="AR41" s="231"/>
      <c r="AS41" s="290"/>
      <c r="AT41" s="291"/>
      <c r="AU41" s="292"/>
      <c r="AV41" s="290"/>
      <c r="AW41" s="290"/>
      <c r="AX41" s="293"/>
      <c r="AY41" s="292"/>
      <c r="BA41" s="237"/>
      <c r="BB41" s="237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37"/>
      <c r="BR41" s="272"/>
      <c r="BS41" s="292"/>
      <c r="BT41" s="272"/>
      <c r="BU41" s="272"/>
      <c r="BV41" s="292"/>
      <c r="BW41" s="292"/>
      <c r="BX41" s="292"/>
      <c r="BY41" s="292"/>
      <c r="BZ41" s="292"/>
      <c r="CA41" s="292"/>
      <c r="CB41" s="272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7"/>
      <c r="EL41" s="237"/>
      <c r="EM41" s="237"/>
      <c r="EN41" s="237"/>
      <c r="EO41" s="237"/>
      <c r="EP41" s="237"/>
      <c r="EQ41" s="237"/>
      <c r="ER41" s="237"/>
      <c r="ES41" s="237"/>
      <c r="ET41" s="237"/>
      <c r="EU41" s="237"/>
      <c r="EV41" s="237"/>
      <c r="EW41" s="237"/>
      <c r="EX41" s="237"/>
      <c r="EY41" s="237"/>
      <c r="EZ41" s="237"/>
      <c r="FA41" s="237"/>
      <c r="FB41" s="237"/>
      <c r="FC41" s="237"/>
      <c r="FD41" s="237"/>
      <c r="FE41" s="237"/>
      <c r="FF41" s="237"/>
      <c r="FG41" s="237"/>
      <c r="FH41" s="237"/>
      <c r="FI41" s="237"/>
      <c r="FJ41" s="237"/>
      <c r="FK41" s="237"/>
      <c r="FL41" s="237"/>
      <c r="FM41" s="237"/>
      <c r="FN41" s="237"/>
      <c r="FO41" s="237"/>
    </row>
    <row r="42" spans="1:172" s="234" customFormat="1" ht="15.75">
      <c r="A42" s="721" t="s">
        <v>155</v>
      </c>
      <c r="B42" s="722"/>
      <c r="C42" s="722"/>
      <c r="D42" s="722"/>
      <c r="E42" s="722"/>
      <c r="F42" s="722"/>
      <c r="G42" s="722"/>
      <c r="H42" s="722"/>
      <c r="I42" s="722"/>
      <c r="J42" s="722"/>
      <c r="K42" s="723"/>
      <c r="L42" s="724">
        <f>SUM(F25:I25)*2</f>
        <v>18</v>
      </c>
      <c r="M42" s="725"/>
      <c r="N42" s="607"/>
      <c r="O42" s="366" t="str">
        <f>O37</f>
        <v>Totalt</v>
      </c>
      <c r="P42" s="367"/>
      <c r="Q42" s="401"/>
      <c r="R42" s="401"/>
      <c r="S42" s="401"/>
      <c r="T42" s="401"/>
      <c r="U42" s="402">
        <f>U37/(SUM(H44:K44)+1E-27)</f>
        <v>0.72413793103448276</v>
      </c>
      <c r="V42" s="609"/>
      <c r="W42" s="352"/>
      <c r="X42" s="352"/>
      <c r="Y42" s="352"/>
      <c r="Z42" s="352"/>
      <c r="AA42" s="352"/>
      <c r="AB42" s="296"/>
      <c r="AC42" s="237"/>
      <c r="AD42" s="260"/>
      <c r="AE42" s="260"/>
      <c r="AF42" s="260"/>
      <c r="AG42" s="260"/>
      <c r="AH42" s="260"/>
      <c r="AI42" s="260"/>
      <c r="AJ42" s="260"/>
      <c r="AK42" s="289"/>
      <c r="AL42" s="289"/>
      <c r="AM42" s="289"/>
      <c r="AN42" s="289"/>
      <c r="AO42" s="290"/>
      <c r="AP42" s="231"/>
      <c r="AQ42" s="290"/>
      <c r="AR42" s="291"/>
      <c r="AS42" s="292"/>
      <c r="AT42" s="290"/>
      <c r="AU42" s="290"/>
      <c r="AV42" s="293"/>
      <c r="AW42" s="292"/>
      <c r="AY42" s="237"/>
      <c r="AZ42" s="237"/>
      <c r="BA42" s="290"/>
      <c r="BB42" s="290"/>
      <c r="BC42" s="290"/>
      <c r="BD42" s="290"/>
      <c r="BE42" s="290"/>
      <c r="BF42" s="290"/>
      <c r="BG42" s="290"/>
      <c r="BH42" s="290"/>
      <c r="BI42" s="290"/>
      <c r="BJ42" s="290"/>
      <c r="BK42" s="290"/>
      <c r="BL42" s="290"/>
      <c r="BM42" s="290"/>
      <c r="BN42" s="290"/>
      <c r="BO42" s="237"/>
      <c r="BP42" s="272"/>
      <c r="BQ42" s="292"/>
      <c r="BR42" s="272"/>
      <c r="BS42" s="272"/>
      <c r="BT42" s="292"/>
      <c r="BU42" s="292"/>
      <c r="BV42" s="292"/>
      <c r="BW42" s="292"/>
      <c r="BX42" s="292"/>
      <c r="BY42" s="292"/>
      <c r="BZ42" s="272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237"/>
      <c r="FL42" s="237"/>
      <c r="FM42" s="237"/>
    </row>
    <row r="43" spans="1:172">
      <c r="A43" s="684" t="s">
        <v>160</v>
      </c>
      <c r="B43" s="685"/>
      <c r="C43" s="685"/>
      <c r="D43" s="685"/>
      <c r="E43" s="686"/>
      <c r="F43" s="729">
        <v>9</v>
      </c>
      <c r="G43" s="729"/>
      <c r="H43" s="372">
        <v>4</v>
      </c>
      <c r="I43" s="373">
        <v>2</v>
      </c>
      <c r="J43" s="373">
        <v>2</v>
      </c>
      <c r="K43" s="374">
        <f t="shared" ref="K43" si="8">F43-SUM(H43:J43)</f>
        <v>1</v>
      </c>
      <c r="L43" s="383"/>
      <c r="M43" s="383"/>
      <c r="N43" s="608"/>
      <c r="O43" s="310"/>
      <c r="P43" s="310"/>
      <c r="Q43" s="310"/>
      <c r="R43" s="310"/>
      <c r="S43" s="310"/>
      <c r="T43" s="310"/>
      <c r="U43" s="310"/>
      <c r="V43" s="608"/>
      <c r="W43" s="352"/>
      <c r="X43" s="352"/>
      <c r="Y43" s="352"/>
      <c r="Z43" s="352"/>
      <c r="AA43" s="352"/>
    </row>
    <row r="44" spans="1:172">
      <c r="A44" s="721" t="s">
        <v>161</v>
      </c>
      <c r="B44" s="722"/>
      <c r="C44" s="722"/>
      <c r="D44" s="722"/>
      <c r="E44" s="723"/>
      <c r="F44" s="682">
        <f>F40+F43</f>
        <v>29</v>
      </c>
      <c r="G44" s="683"/>
      <c r="H44" s="387">
        <f>H40+H43</f>
        <v>8</v>
      </c>
      <c r="I44" s="388">
        <f t="shared" ref="I44:K44" si="9">I40+I43</f>
        <v>4</v>
      </c>
      <c r="J44" s="388">
        <f t="shared" si="9"/>
        <v>2</v>
      </c>
      <c r="K44" s="389">
        <f t="shared" si="9"/>
        <v>15</v>
      </c>
      <c r="L44" s="310"/>
      <c r="M44" s="310"/>
      <c r="N44" s="310"/>
      <c r="O44" s="310"/>
      <c r="P44" s="310"/>
      <c r="Q44" s="310"/>
      <c r="R44" s="310"/>
      <c r="S44" s="310"/>
      <c r="T44" s="310"/>
      <c r="U44" s="310"/>
      <c r="V44" s="310"/>
      <c r="W44" s="310"/>
      <c r="X44" s="310"/>
      <c r="Y44" s="310"/>
      <c r="Z44" s="310"/>
      <c r="AA44" s="310"/>
    </row>
    <row r="45" spans="1:172">
      <c r="A45" s="713" t="s">
        <v>214</v>
      </c>
      <c r="B45" s="714"/>
      <c r="C45" s="714"/>
      <c r="D45" s="714"/>
      <c r="E45" s="714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4"/>
      <c r="Y45" s="714"/>
      <c r="Z45" s="714"/>
      <c r="AA45" s="715"/>
    </row>
    <row r="46" spans="1:172" ht="27.75" customHeight="1">
      <c r="A46" s="629"/>
      <c r="B46" s="630"/>
      <c r="C46" s="630"/>
      <c r="D46" s="630"/>
      <c r="E46" s="631"/>
      <c r="F46" s="641" t="s">
        <v>215</v>
      </c>
      <c r="G46" s="642"/>
      <c r="H46" s="642"/>
      <c r="I46" s="642"/>
      <c r="J46" s="643"/>
      <c r="K46" s="641" t="s">
        <v>248</v>
      </c>
      <c r="L46" s="642"/>
      <c r="M46" s="642"/>
      <c r="N46" s="642"/>
      <c r="O46" s="642"/>
      <c r="P46" s="638"/>
      <c r="Q46" s="641" t="s">
        <v>190</v>
      </c>
      <c r="R46" s="642"/>
      <c r="S46" s="642"/>
      <c r="T46" s="642"/>
      <c r="U46" s="643"/>
      <c r="V46" s="310"/>
      <c r="W46" s="310"/>
      <c r="X46" s="310"/>
      <c r="Y46" s="310"/>
      <c r="Z46" s="310"/>
      <c r="AA46" s="310"/>
    </row>
    <row r="47" spans="1:172" ht="41.25" customHeight="1">
      <c r="A47" s="632"/>
      <c r="B47" s="633"/>
      <c r="C47" s="633"/>
      <c r="D47" s="633"/>
      <c r="E47" s="634"/>
      <c r="F47" s="649" t="s">
        <v>194</v>
      </c>
      <c r="G47" s="665"/>
      <c r="H47" s="650"/>
      <c r="I47" s="627" t="s">
        <v>185</v>
      </c>
      <c r="J47" s="625" t="s">
        <v>250</v>
      </c>
      <c r="K47" s="649" t="s">
        <v>216</v>
      </c>
      <c r="L47" s="665"/>
      <c r="M47" s="661" t="s">
        <v>246</v>
      </c>
      <c r="N47" s="662"/>
      <c r="O47" s="627" t="s">
        <v>247</v>
      </c>
      <c r="P47" s="639"/>
      <c r="Q47" s="625" t="s">
        <v>9</v>
      </c>
      <c r="R47" s="649" t="s">
        <v>191</v>
      </c>
      <c r="S47" s="650"/>
      <c r="T47" s="627" t="s">
        <v>253</v>
      </c>
      <c r="U47" s="625" t="s">
        <v>192</v>
      </c>
      <c r="V47" s="310"/>
      <c r="W47" s="625" t="s">
        <v>193</v>
      </c>
      <c r="X47" s="310"/>
      <c r="Y47" s="310"/>
      <c r="Z47" s="310"/>
      <c r="AA47" s="310"/>
    </row>
    <row r="48" spans="1:172" ht="38.25" customHeight="1">
      <c r="A48" s="635"/>
      <c r="B48" s="636"/>
      <c r="C48" s="636"/>
      <c r="D48" s="636"/>
      <c r="E48" s="637"/>
      <c r="F48" s="403" t="s">
        <v>245</v>
      </c>
      <c r="G48" s="404" t="s">
        <v>182</v>
      </c>
      <c r="H48" s="405" t="s">
        <v>46</v>
      </c>
      <c r="I48" s="628"/>
      <c r="J48" s="626"/>
      <c r="K48" s="406" t="s">
        <v>245</v>
      </c>
      <c r="L48" s="406" t="s">
        <v>182</v>
      </c>
      <c r="M48" s="663"/>
      <c r="N48" s="664"/>
      <c r="O48" s="628"/>
      <c r="P48" s="639"/>
      <c r="Q48" s="626"/>
      <c r="R48" s="430" t="s">
        <v>249</v>
      </c>
      <c r="S48" s="407" t="str">
        <f>Z21</f>
        <v>Arbeidstid pr uke</v>
      </c>
      <c r="T48" s="628"/>
      <c r="U48" s="626"/>
      <c r="V48" s="310"/>
      <c r="W48" s="626"/>
      <c r="X48" s="310"/>
      <c r="Y48" s="310"/>
      <c r="Z48" s="310"/>
      <c r="AA48" s="310"/>
    </row>
    <row r="49" spans="1:27" ht="22.5" customHeight="1">
      <c r="A49" s="653" t="s">
        <v>188</v>
      </c>
      <c r="B49" s="654"/>
      <c r="C49" s="654"/>
      <c r="D49" s="654"/>
      <c r="E49" s="655"/>
      <c r="F49" s="352">
        <f>P30*AE29*AE30/7.5*Q30</f>
        <v>131.4938176</v>
      </c>
      <c r="G49" s="408">
        <f>H49-F49</f>
        <v>806.00618239999994</v>
      </c>
      <c r="H49" s="409">
        <f>'I fjor'!$W$29</f>
        <v>937.5</v>
      </c>
      <c r="I49" s="651"/>
      <c r="J49" s="652"/>
      <c r="K49" s="410">
        <v>1</v>
      </c>
      <c r="L49" s="411">
        <v>1</v>
      </c>
      <c r="M49" s="412"/>
      <c r="N49" s="412"/>
      <c r="O49" s="310"/>
      <c r="P49" s="639"/>
      <c r="Q49" s="408">
        <f>SUMPRODUCT($F$49:$G$49,K49:L49)</f>
        <v>937.5</v>
      </c>
      <c r="R49" s="413">
        <v>420</v>
      </c>
      <c r="S49" s="414">
        <v>37.5</v>
      </c>
      <c r="T49" s="415">
        <f>R49*(1+$M$16)*(1+$M$15)/W49*1000</f>
        <v>328.53008695652181</v>
      </c>
      <c r="U49" s="409">
        <f>Q49*T49/1000</f>
        <v>307.99695652173921</v>
      </c>
      <c r="V49" s="310"/>
      <c r="W49" s="591">
        <f>S49*46</f>
        <v>1725</v>
      </c>
      <c r="X49" s="310"/>
      <c r="Y49" s="310"/>
      <c r="Z49" s="310"/>
      <c r="AA49" s="310"/>
    </row>
    <row r="50" spans="1:27">
      <c r="A50" s="658" t="s">
        <v>189</v>
      </c>
      <c r="B50" s="659"/>
      <c r="C50" s="659"/>
      <c r="D50" s="659"/>
      <c r="E50" s="659"/>
      <c r="F50" s="659"/>
      <c r="G50" s="659"/>
      <c r="H50" s="660"/>
      <c r="I50" s="416">
        <f>F40</f>
        <v>20</v>
      </c>
      <c r="J50" s="646"/>
      <c r="K50" s="647"/>
      <c r="L50" s="648"/>
      <c r="M50" s="656"/>
      <c r="N50" s="657"/>
      <c r="O50" s="310"/>
      <c r="P50" s="639"/>
      <c r="Q50" s="417">
        <f>I50*M50*52</f>
        <v>0</v>
      </c>
      <c r="R50" s="620">
        <f>W25</f>
        <v>430.44499999999999</v>
      </c>
      <c r="S50" s="418">
        <f>Z25</f>
        <v>35.5</v>
      </c>
      <c r="T50" s="350">
        <f t="shared" ref="T50:T52" si="10">R50*(1+$M$16)*(1+$M$15)/W50*1000</f>
        <v>355.66934929577462</v>
      </c>
      <c r="U50" s="350">
        <f t="shared" ref="U50:U52" si="11">Q50*T50/1000</f>
        <v>0</v>
      </c>
      <c r="V50" s="310"/>
      <c r="W50" s="591">
        <f t="shared" ref="W50:W52" si="12">S50*46</f>
        <v>1633</v>
      </c>
      <c r="X50" s="310"/>
      <c r="Y50" s="310"/>
      <c r="Z50" s="310"/>
      <c r="AA50" s="310"/>
    </row>
    <row r="51" spans="1:27">
      <c r="A51" s="419" t="s">
        <v>251</v>
      </c>
      <c r="B51" s="420"/>
      <c r="C51" s="420"/>
      <c r="D51" s="420"/>
      <c r="E51" s="420"/>
      <c r="F51" s="420"/>
      <c r="G51" s="420"/>
      <c r="H51" s="421"/>
      <c r="I51" s="422">
        <f>F40</f>
        <v>20</v>
      </c>
      <c r="J51" s="646"/>
      <c r="K51" s="647"/>
      <c r="L51" s="647"/>
      <c r="M51" s="647"/>
      <c r="N51" s="648"/>
      <c r="O51" s="423">
        <v>40</v>
      </c>
      <c r="P51" s="639"/>
      <c r="Q51" s="417">
        <f>I51*O51</f>
        <v>800</v>
      </c>
      <c r="R51" s="423">
        <v>530</v>
      </c>
      <c r="S51" s="414">
        <v>37.5</v>
      </c>
      <c r="T51" s="350">
        <f t="shared" si="10"/>
        <v>414.57368115942035</v>
      </c>
      <c r="U51" s="350">
        <f t="shared" si="11"/>
        <v>331.65894492753631</v>
      </c>
      <c r="V51" s="310"/>
      <c r="W51" s="591">
        <f t="shared" si="12"/>
        <v>1725</v>
      </c>
      <c r="X51" s="310"/>
      <c r="Y51" s="310"/>
      <c r="Z51" s="310"/>
      <c r="AA51" s="310"/>
    </row>
    <row r="52" spans="1:27">
      <c r="A52" s="644" t="s">
        <v>252</v>
      </c>
      <c r="B52" s="644"/>
      <c r="C52" s="644"/>
      <c r="D52" s="644"/>
      <c r="E52" s="644"/>
      <c r="F52" s="644"/>
      <c r="G52" s="644"/>
      <c r="H52" s="644"/>
      <c r="I52" s="645"/>
      <c r="J52" s="424">
        <f>AA29</f>
        <v>2</v>
      </c>
      <c r="K52" s="646"/>
      <c r="L52" s="647"/>
      <c r="M52" s="647"/>
      <c r="N52" s="648"/>
      <c r="O52" s="372">
        <v>100</v>
      </c>
      <c r="P52" s="640"/>
      <c r="Q52" s="425">
        <f>J52*O52</f>
        <v>200</v>
      </c>
      <c r="R52" s="426">
        <v>500</v>
      </c>
      <c r="S52" s="414">
        <v>37.5</v>
      </c>
      <c r="T52" s="427">
        <f t="shared" si="10"/>
        <v>391.10724637681164</v>
      </c>
      <c r="U52" s="409">
        <f t="shared" si="11"/>
        <v>78.221449275362332</v>
      </c>
      <c r="V52" s="310"/>
      <c r="W52" s="592">
        <f t="shared" si="12"/>
        <v>1725</v>
      </c>
      <c r="X52" s="310"/>
      <c r="Y52" s="310"/>
      <c r="Z52" s="310"/>
      <c r="AA52" s="310"/>
    </row>
    <row r="53" spans="1:27">
      <c r="A53" s="622" t="s">
        <v>46</v>
      </c>
      <c r="B53" s="623"/>
      <c r="C53" s="623"/>
      <c r="D53" s="623"/>
      <c r="E53" s="623"/>
      <c r="F53" s="623"/>
      <c r="G53" s="623"/>
      <c r="H53" s="623"/>
      <c r="I53" s="623"/>
      <c r="J53" s="623"/>
      <c r="K53" s="623"/>
      <c r="L53" s="623"/>
      <c r="M53" s="623"/>
      <c r="N53" s="623"/>
      <c r="O53" s="623"/>
      <c r="P53" s="623"/>
      <c r="Q53" s="623"/>
      <c r="R53" s="623"/>
      <c r="S53" s="624"/>
      <c r="T53" s="310"/>
      <c r="U53" s="350">
        <f>SUM(U49:U52)</f>
        <v>717.87735072463784</v>
      </c>
      <c r="V53" s="310"/>
      <c r="W53" s="310"/>
      <c r="X53" s="310"/>
      <c r="Y53" s="310"/>
      <c r="Z53" s="310"/>
      <c r="AA53" s="310"/>
    </row>
  </sheetData>
  <sheetProtection sheet="1" objects="1" scenarios="1"/>
  <mergeCells count="120">
    <mergeCell ref="F40:G40"/>
    <mergeCell ref="F39:G39"/>
    <mergeCell ref="A37:E37"/>
    <mergeCell ref="T28:V28"/>
    <mergeCell ref="T29:V29"/>
    <mergeCell ref="T30:V30"/>
    <mergeCell ref="O35:P35"/>
    <mergeCell ref="CM1:CN5"/>
    <mergeCell ref="B3:M3"/>
    <mergeCell ref="P3:Q3"/>
    <mergeCell ref="B2:AA2"/>
    <mergeCell ref="A20:AA20"/>
    <mergeCell ref="A1:AA1"/>
    <mergeCell ref="J22:Q22"/>
    <mergeCell ref="A28:B28"/>
    <mergeCell ref="H33:K33"/>
    <mergeCell ref="L33:M34"/>
    <mergeCell ref="W21:W22"/>
    <mergeCell ref="R21:R24"/>
    <mergeCell ref="F33:G34"/>
    <mergeCell ref="Y21:Y24"/>
    <mergeCell ref="O32:U32"/>
    <mergeCell ref="CB2:CB3"/>
    <mergeCell ref="W23:W24"/>
    <mergeCell ref="S21:T22"/>
    <mergeCell ref="B21:Q21"/>
    <mergeCell ref="BR23:BV23"/>
    <mergeCell ref="U21:V21"/>
    <mergeCell ref="U22:U23"/>
    <mergeCell ref="U24:V24"/>
    <mergeCell ref="V22:V23"/>
    <mergeCell ref="AR23:AS23"/>
    <mergeCell ref="X21:X24"/>
    <mergeCell ref="Z21:Z24"/>
    <mergeCell ref="B22:I22"/>
    <mergeCell ref="AA21:AA23"/>
    <mergeCell ref="F23:I23"/>
    <mergeCell ref="B23:E23"/>
    <mergeCell ref="C13:AA13"/>
    <mergeCell ref="A4:AA4"/>
    <mergeCell ref="C5:AA5"/>
    <mergeCell ref="C6:AA6"/>
    <mergeCell ref="C7:AA7"/>
    <mergeCell ref="C8:AA8"/>
    <mergeCell ref="C9:AA9"/>
    <mergeCell ref="C10:AA10"/>
    <mergeCell ref="C11:AA11"/>
    <mergeCell ref="C12:AA12"/>
    <mergeCell ref="A45:AA45"/>
    <mergeCell ref="J23:M23"/>
    <mergeCell ref="N23:Q23"/>
    <mergeCell ref="S23:T23"/>
    <mergeCell ref="A44:E44"/>
    <mergeCell ref="L41:M41"/>
    <mergeCell ref="L42:M42"/>
    <mergeCell ref="A40:E40"/>
    <mergeCell ref="N28:P28"/>
    <mergeCell ref="M28:M30"/>
    <mergeCell ref="A42:K42"/>
    <mergeCell ref="F43:G43"/>
    <mergeCell ref="F35:G35"/>
    <mergeCell ref="F37:G37"/>
    <mergeCell ref="F38:G38"/>
    <mergeCell ref="F36:G36"/>
    <mergeCell ref="W38:AA38"/>
    <mergeCell ref="A38:E38"/>
    <mergeCell ref="L35:M35"/>
    <mergeCell ref="A32:M32"/>
    <mergeCell ref="A31:AA31"/>
    <mergeCell ref="A27:AA27"/>
    <mergeCell ref="A29:B29"/>
    <mergeCell ref="A30:B30"/>
    <mergeCell ref="W47:W48"/>
    <mergeCell ref="W28:X28"/>
    <mergeCell ref="W29:X29"/>
    <mergeCell ref="W30:X30"/>
    <mergeCell ref="A39:E39"/>
    <mergeCell ref="L37:M37"/>
    <mergeCell ref="L38:M38"/>
    <mergeCell ref="W32:AA32"/>
    <mergeCell ref="W35:AA35"/>
    <mergeCell ref="F44:G44"/>
    <mergeCell ref="A43:E43"/>
    <mergeCell ref="L36:M36"/>
    <mergeCell ref="A41:E41"/>
    <mergeCell ref="A33:E34"/>
    <mergeCell ref="A35:E35"/>
    <mergeCell ref="A36:E36"/>
    <mergeCell ref="O36:P36"/>
    <mergeCell ref="O38:U38"/>
    <mergeCell ref="O37:P37"/>
    <mergeCell ref="O33:U33"/>
    <mergeCell ref="N29:O29"/>
    <mergeCell ref="N30:O30"/>
    <mergeCell ref="Z28:AA28"/>
    <mergeCell ref="W36:AA37"/>
    <mergeCell ref="A53:S53"/>
    <mergeCell ref="U47:U48"/>
    <mergeCell ref="T47:T48"/>
    <mergeCell ref="A46:E48"/>
    <mergeCell ref="P46:P52"/>
    <mergeCell ref="Q46:U46"/>
    <mergeCell ref="A52:I52"/>
    <mergeCell ref="K52:N52"/>
    <mergeCell ref="J51:N51"/>
    <mergeCell ref="J50:L50"/>
    <mergeCell ref="R47:S47"/>
    <mergeCell ref="I49:J49"/>
    <mergeCell ref="A49:E49"/>
    <mergeCell ref="M50:N50"/>
    <mergeCell ref="I47:I48"/>
    <mergeCell ref="J47:J48"/>
    <mergeCell ref="A50:H50"/>
    <mergeCell ref="O47:O48"/>
    <mergeCell ref="M47:N48"/>
    <mergeCell ref="F46:J46"/>
    <mergeCell ref="K46:O46"/>
    <mergeCell ref="F47:H47"/>
    <mergeCell ref="K47:L47"/>
    <mergeCell ref="Q47:Q48"/>
  </mergeCells>
  <pageMargins left="0.7" right="0.7" top="0.75" bottom="0.75" header="0.3" footer="0.3"/>
  <pageSetup paperSize="9" orientation="landscape" r:id="rId1"/>
  <ignoredErrors>
    <ignoredError sqref="L42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P53"/>
  <sheetViews>
    <sheetView showGridLines="0" showZeros="0" topLeftCell="A25" zoomScale="113" zoomScaleNormal="113" workbookViewId="0">
      <selection activeCell="L35" sqref="L35:M38"/>
    </sheetView>
  </sheetViews>
  <sheetFormatPr baseColWidth="10" defaultRowHeight="12.75"/>
  <cols>
    <col min="1" max="1" width="7.28515625" style="221" customWidth="1"/>
    <col min="2" max="2" width="7.5703125" style="221" customWidth="1"/>
    <col min="3" max="3" width="7.28515625" style="221" customWidth="1"/>
    <col min="4" max="4" width="5.7109375" style="221" customWidth="1"/>
    <col min="5" max="5" width="7.42578125" style="221" customWidth="1"/>
    <col min="6" max="6" width="6.85546875" style="221" customWidth="1"/>
    <col min="7" max="7" width="6.5703125" style="221" customWidth="1"/>
    <col min="8" max="8" width="5.7109375" style="221" customWidth="1"/>
    <col min="9" max="9" width="8.28515625" style="221" customWidth="1"/>
    <col min="10" max="10" width="6.42578125" style="221" customWidth="1"/>
    <col min="11" max="11" width="6.7109375" style="221" customWidth="1"/>
    <col min="12" max="12" width="7" style="221" customWidth="1"/>
    <col min="13" max="13" width="7.5703125" style="221" customWidth="1"/>
    <col min="14" max="14" width="6.42578125" style="221" customWidth="1"/>
    <col min="15" max="15" width="6.7109375" style="221" customWidth="1"/>
    <col min="16" max="16" width="7" style="221" customWidth="1"/>
    <col min="17" max="17" width="7.7109375" style="221" customWidth="1"/>
    <col min="18" max="18" width="9.140625" style="221" customWidth="1"/>
    <col min="19" max="19" width="6.28515625" style="221" customWidth="1"/>
    <col min="20" max="20" width="6.42578125" style="221" customWidth="1"/>
    <col min="21" max="21" width="8.7109375" style="221" customWidth="1"/>
    <col min="22" max="22" width="8" style="221" customWidth="1"/>
    <col min="23" max="23" width="11" style="221" customWidth="1"/>
    <col min="24" max="24" width="7" style="221" customWidth="1"/>
    <col min="25" max="25" width="10.5703125" style="221" customWidth="1"/>
    <col min="26" max="26" width="8.5703125" style="221" customWidth="1"/>
    <col min="27" max="27" width="11.42578125" style="221" customWidth="1"/>
    <col min="28" max="29" width="8.5703125" style="221" hidden="1" customWidth="1"/>
    <col min="30" max="79" width="11.42578125" style="221" hidden="1" customWidth="1"/>
    <col min="80" max="91" width="0" style="221" hidden="1" customWidth="1"/>
    <col min="92" max="16384" width="11.42578125" style="221"/>
  </cols>
  <sheetData>
    <row r="1" spans="1:91" ht="26.25">
      <c r="A1" s="766" t="s">
        <v>176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  <c r="V1" s="767"/>
      <c r="W1" s="767"/>
      <c r="X1" s="767"/>
      <c r="Y1" s="767"/>
      <c r="Z1" s="767"/>
      <c r="AA1" s="768"/>
    </row>
    <row r="2" spans="1:91">
      <c r="A2" s="431"/>
      <c r="B2" s="808" t="s">
        <v>258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  <c r="R2" s="809"/>
      <c r="S2" s="809"/>
      <c r="T2" s="809"/>
      <c r="U2" s="809"/>
      <c r="V2" s="809"/>
      <c r="W2" s="809"/>
      <c r="X2" s="809"/>
      <c r="Y2" s="809"/>
      <c r="Z2" s="809"/>
      <c r="AA2" s="810"/>
      <c r="AB2" s="222">
        <v>0.70833333333333337</v>
      </c>
      <c r="AC2" s="223"/>
      <c r="AD2" s="224">
        <v>1</v>
      </c>
      <c r="AE2" s="222">
        <v>0.70833333333333337</v>
      </c>
      <c r="AF2" s="223"/>
      <c r="AG2" s="225">
        <f>AD2</f>
        <v>1</v>
      </c>
      <c r="CB2" s="770" t="s">
        <v>148</v>
      </c>
    </row>
    <row r="3" spans="1:91">
      <c r="A3" s="432"/>
      <c r="B3" s="808" t="s">
        <v>260</v>
      </c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10"/>
      <c r="AB3" s="226">
        <f>Z18-AB2</f>
        <v>0.21875</v>
      </c>
      <c r="AC3" s="227"/>
      <c r="AD3" s="228">
        <f>AD2-M18</f>
        <v>8.333333333333337E-2</v>
      </c>
      <c r="AE3" s="226">
        <f>Z19-AE2</f>
        <v>0.21875</v>
      </c>
      <c r="AF3" s="227"/>
      <c r="AG3" s="229">
        <f>AG2-M19</f>
        <v>8.333333333333337E-2</v>
      </c>
      <c r="CB3" s="771"/>
    </row>
    <row r="4" spans="1:91">
      <c r="A4" s="780" t="str">
        <f>'I fjor'!A4:AA4</f>
        <v>Kort bruksanvising</v>
      </c>
      <c r="B4" s="781"/>
      <c r="C4" s="781"/>
      <c r="D4" s="781"/>
      <c r="E4" s="781"/>
      <c r="F4" s="781"/>
      <c r="G4" s="781"/>
      <c r="H4" s="781"/>
      <c r="I4" s="781"/>
      <c r="J4" s="781"/>
      <c r="K4" s="781"/>
      <c r="L4" s="781"/>
      <c r="M4" s="781"/>
      <c r="N4" s="781"/>
      <c r="O4" s="781"/>
      <c r="P4" s="781"/>
      <c r="Q4" s="781"/>
      <c r="R4" s="781"/>
      <c r="S4" s="781"/>
      <c r="T4" s="781"/>
      <c r="U4" s="781"/>
      <c r="V4" s="781"/>
      <c r="W4" s="781"/>
      <c r="X4" s="781"/>
      <c r="Y4" s="781"/>
      <c r="Z4" s="781"/>
      <c r="AA4" s="782"/>
      <c r="AB4" s="230"/>
      <c r="AC4" s="231"/>
      <c r="AD4" s="232"/>
      <c r="AE4" s="230"/>
      <c r="AF4" s="231"/>
      <c r="AG4" s="232"/>
      <c r="CB4" s="233"/>
    </row>
    <row r="5" spans="1:91">
      <c r="A5" s="433"/>
      <c r="B5" s="434" t="s">
        <v>195</v>
      </c>
      <c r="C5" s="851" t="s">
        <v>295</v>
      </c>
      <c r="D5" s="876"/>
      <c r="E5" s="876"/>
      <c r="F5" s="876"/>
      <c r="G5" s="876"/>
      <c r="H5" s="876"/>
      <c r="I5" s="876"/>
      <c r="J5" s="876"/>
      <c r="K5" s="876"/>
      <c r="L5" s="876"/>
      <c r="M5" s="876"/>
      <c r="N5" s="876"/>
      <c r="O5" s="876"/>
      <c r="P5" s="876"/>
      <c r="Q5" s="876"/>
      <c r="R5" s="876"/>
      <c r="S5" s="876"/>
      <c r="T5" s="876"/>
      <c r="U5" s="876"/>
      <c r="V5" s="876"/>
      <c r="W5" s="876"/>
      <c r="X5" s="876"/>
      <c r="Y5" s="876"/>
      <c r="Z5" s="876"/>
      <c r="AA5" s="852"/>
      <c r="AB5" s="230"/>
      <c r="AC5" s="231"/>
      <c r="AD5" s="232"/>
      <c r="AE5" s="230"/>
      <c r="AF5" s="231"/>
      <c r="AG5" s="232"/>
      <c r="CB5" s="233"/>
    </row>
    <row r="6" spans="1:91">
      <c r="A6" s="433"/>
      <c r="B6" s="434" t="s">
        <v>197</v>
      </c>
      <c r="C6" s="622" t="s">
        <v>279</v>
      </c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4"/>
      <c r="AB6" s="230"/>
      <c r="AC6" s="231"/>
      <c r="AD6" s="232"/>
      <c r="AE6" s="230"/>
      <c r="AF6" s="231"/>
      <c r="AG6" s="232"/>
      <c r="CB6" s="233"/>
    </row>
    <row r="7" spans="1:91">
      <c r="A7" s="433"/>
      <c r="B7" s="434" t="s">
        <v>198</v>
      </c>
      <c r="C7" s="622" t="s">
        <v>265</v>
      </c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  <c r="P7" s="623"/>
      <c r="Q7" s="623"/>
      <c r="R7" s="623"/>
      <c r="S7" s="623"/>
      <c r="T7" s="623"/>
      <c r="U7" s="623"/>
      <c r="V7" s="623"/>
      <c r="W7" s="623"/>
      <c r="X7" s="623"/>
      <c r="Y7" s="623"/>
      <c r="Z7" s="623"/>
      <c r="AA7" s="624"/>
      <c r="AB7" s="230"/>
      <c r="AC7" s="231"/>
      <c r="AD7" s="232"/>
      <c r="AE7" s="230"/>
      <c r="AF7" s="231"/>
      <c r="AG7" s="232"/>
      <c r="CB7" s="233"/>
    </row>
    <row r="8" spans="1:91">
      <c r="A8" s="433"/>
      <c r="B8" s="434" t="s">
        <v>199</v>
      </c>
      <c r="C8" s="622" t="s">
        <v>264</v>
      </c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623"/>
      <c r="P8" s="623"/>
      <c r="Q8" s="623"/>
      <c r="R8" s="623"/>
      <c r="S8" s="623"/>
      <c r="T8" s="623"/>
      <c r="U8" s="623"/>
      <c r="V8" s="623"/>
      <c r="W8" s="623"/>
      <c r="X8" s="623"/>
      <c r="Y8" s="623"/>
      <c r="Z8" s="623"/>
      <c r="AA8" s="624"/>
      <c r="AB8" s="230"/>
      <c r="AC8" s="231"/>
      <c r="AD8" s="232"/>
      <c r="AE8" s="230"/>
      <c r="AF8" s="231"/>
      <c r="AG8" s="232"/>
      <c r="CB8" s="233"/>
    </row>
    <row r="9" spans="1:91" ht="12.75" customHeight="1">
      <c r="A9" s="433"/>
      <c r="B9" s="434" t="s">
        <v>200</v>
      </c>
      <c r="C9" s="736" t="s">
        <v>255</v>
      </c>
      <c r="D9" s="737"/>
      <c r="E9" s="737"/>
      <c r="F9" s="737"/>
      <c r="G9" s="737"/>
      <c r="H9" s="737"/>
      <c r="I9" s="737"/>
      <c r="J9" s="737"/>
      <c r="K9" s="737"/>
      <c r="L9" s="737"/>
      <c r="M9" s="737"/>
      <c r="N9" s="737"/>
      <c r="O9" s="737"/>
      <c r="P9" s="737"/>
      <c r="Q9" s="737"/>
      <c r="R9" s="737"/>
      <c r="S9" s="737"/>
      <c r="T9" s="737"/>
      <c r="U9" s="737"/>
      <c r="V9" s="737"/>
      <c r="W9" s="737"/>
      <c r="X9" s="737"/>
      <c r="Y9" s="737"/>
      <c r="Z9" s="737"/>
      <c r="AA9" s="738"/>
      <c r="AB9" s="230"/>
      <c r="AC9" s="231"/>
      <c r="AD9" s="232"/>
      <c r="AE9" s="230"/>
      <c r="AF9" s="231"/>
      <c r="AG9" s="232"/>
      <c r="CB9" s="233"/>
    </row>
    <row r="10" spans="1:91" ht="12.75" customHeight="1">
      <c r="A10" s="433"/>
      <c r="B10" s="434" t="s">
        <v>201</v>
      </c>
      <c r="C10" s="736" t="s">
        <v>287</v>
      </c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  <c r="O10" s="737"/>
      <c r="P10" s="737"/>
      <c r="Q10" s="737"/>
      <c r="R10" s="737"/>
      <c r="S10" s="737"/>
      <c r="T10" s="737"/>
      <c r="U10" s="737"/>
      <c r="V10" s="737"/>
      <c r="W10" s="737"/>
      <c r="X10" s="737"/>
      <c r="Y10" s="737"/>
      <c r="Z10" s="737"/>
      <c r="AA10" s="738"/>
      <c r="AB10" s="230"/>
      <c r="AC10" s="231"/>
      <c r="AD10" s="232"/>
      <c r="AE10" s="230"/>
      <c r="AF10" s="231"/>
      <c r="AG10" s="232"/>
      <c r="CB10" s="233"/>
    </row>
    <row r="11" spans="1:91" ht="27.75" customHeight="1">
      <c r="A11" s="433"/>
      <c r="B11" s="434" t="s">
        <v>202</v>
      </c>
      <c r="C11" s="736" t="s">
        <v>296</v>
      </c>
      <c r="D11" s="737"/>
      <c r="E11" s="737"/>
      <c r="F11" s="737"/>
      <c r="G11" s="737"/>
      <c r="H11" s="737"/>
      <c r="I11" s="737"/>
      <c r="J11" s="737"/>
      <c r="K11" s="737"/>
      <c r="L11" s="737"/>
      <c r="M11" s="737"/>
      <c r="N11" s="737"/>
      <c r="O11" s="737"/>
      <c r="P11" s="737"/>
      <c r="Q11" s="737"/>
      <c r="R11" s="737"/>
      <c r="S11" s="737"/>
      <c r="T11" s="737"/>
      <c r="U11" s="737"/>
      <c r="V11" s="737"/>
      <c r="W11" s="737"/>
      <c r="X11" s="737"/>
      <c r="Y11" s="737"/>
      <c r="Z11" s="737"/>
      <c r="AA11" s="738"/>
      <c r="AB11" s="230"/>
      <c r="AC11" s="231"/>
      <c r="AD11" s="232"/>
      <c r="AE11" s="230"/>
      <c r="AF11" s="231"/>
      <c r="AG11" s="232"/>
      <c r="CB11" s="233"/>
    </row>
    <row r="12" spans="1:91" ht="18.75" customHeight="1">
      <c r="A12" s="433"/>
      <c r="B12" s="434" t="s">
        <v>203</v>
      </c>
      <c r="C12" s="736" t="s">
        <v>266</v>
      </c>
      <c r="D12" s="737"/>
      <c r="E12" s="737"/>
      <c r="F12" s="737"/>
      <c r="G12" s="737"/>
      <c r="H12" s="737"/>
      <c r="I12" s="737"/>
      <c r="J12" s="737"/>
      <c r="K12" s="737"/>
      <c r="L12" s="737"/>
      <c r="M12" s="737"/>
      <c r="N12" s="737"/>
      <c r="O12" s="737"/>
      <c r="P12" s="737"/>
      <c r="Q12" s="737"/>
      <c r="R12" s="737"/>
      <c r="S12" s="737"/>
      <c r="T12" s="737"/>
      <c r="U12" s="737"/>
      <c r="V12" s="737"/>
      <c r="W12" s="737"/>
      <c r="X12" s="737"/>
      <c r="Y12" s="737"/>
      <c r="Z12" s="737"/>
      <c r="AA12" s="738"/>
      <c r="AB12" s="230"/>
      <c r="AC12" s="231"/>
      <c r="AD12" s="232"/>
      <c r="AE12" s="230"/>
      <c r="AF12" s="231"/>
      <c r="AG12" s="232"/>
      <c r="CB12" s="233"/>
    </row>
    <row r="13" spans="1:91" ht="27" customHeight="1">
      <c r="A13" s="433"/>
      <c r="B13" s="434" t="s">
        <v>207</v>
      </c>
      <c r="C13" s="736" t="s">
        <v>256</v>
      </c>
      <c r="D13" s="737"/>
      <c r="E13" s="737"/>
      <c r="F13" s="737"/>
      <c r="G13" s="737"/>
      <c r="H13" s="737"/>
      <c r="I13" s="737"/>
      <c r="J13" s="737"/>
      <c r="K13" s="737"/>
      <c r="L13" s="737"/>
      <c r="M13" s="737"/>
      <c r="N13" s="737"/>
      <c r="O13" s="737"/>
      <c r="P13" s="737"/>
      <c r="Q13" s="737"/>
      <c r="R13" s="737"/>
      <c r="S13" s="737"/>
      <c r="T13" s="737"/>
      <c r="U13" s="737"/>
      <c r="V13" s="737"/>
      <c r="W13" s="737"/>
      <c r="X13" s="737"/>
      <c r="Y13" s="737"/>
      <c r="Z13" s="737"/>
      <c r="AA13" s="738"/>
      <c r="AB13" s="230"/>
      <c r="AD13" s="232"/>
      <c r="AE13" s="230"/>
      <c r="AF13" s="231"/>
      <c r="AG13" s="232"/>
      <c r="CB13" s="233"/>
      <c r="CM13" s="297"/>
    </row>
    <row r="14" spans="1:91" ht="15" customHeight="1">
      <c r="A14" s="433"/>
      <c r="B14" s="435"/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6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6"/>
      <c r="AA14" s="435"/>
      <c r="AB14" s="230"/>
      <c r="AC14" s="231"/>
      <c r="AD14" s="232"/>
      <c r="AE14" s="230"/>
      <c r="AF14" s="231"/>
      <c r="AG14" s="232"/>
      <c r="CB14" s="233"/>
    </row>
    <row r="15" spans="1:91">
      <c r="A15" s="437"/>
      <c r="B15" s="221" t="str">
        <f>'I fjor'!B15</f>
        <v>Sats arbeidsgiveravgift</v>
      </c>
      <c r="M15" s="311">
        <f>'I fjor'!M15</f>
        <v>0.106</v>
      </c>
      <c r="O15" s="221" t="str">
        <f>'I fjor'!O15</f>
        <v>Lørdag- og sørndagstillegg, tillegg utover minimumstats i tariffavtalen</v>
      </c>
      <c r="Z15" s="311">
        <f>'I fjor'!Z15</f>
        <v>0</v>
      </c>
    </row>
    <row r="16" spans="1:91">
      <c r="B16" s="221" t="str">
        <f>'I fjor'!B16</f>
        <v>Pensjonskostnad, andel av fastlønn og fasre tillegg</v>
      </c>
      <c r="M16" s="311">
        <f>'I fjor'!M16</f>
        <v>0.22</v>
      </c>
      <c r="O16" s="221" t="str">
        <f>'I fjor'!O16</f>
        <v>Nattillegg, tillegg utover minimumstats i tariffavtalen</v>
      </c>
      <c r="Z16" s="311">
        <f>'I fjor'!Z16</f>
        <v>0</v>
      </c>
    </row>
    <row r="17" spans="1:169">
      <c r="M17" s="312"/>
      <c r="O17" s="221" t="str">
        <f>'I fjor'!O17</f>
        <v>Andel avspasering helligdagstillegg</v>
      </c>
      <c r="X17" s="438"/>
      <c r="Z17" s="311">
        <f>'I fjor'!Z17</f>
        <v>0</v>
      </c>
    </row>
    <row r="18" spans="1:169">
      <c r="B18" s="221" t="str">
        <f>'I fjor'!B18</f>
        <v>Starttidspunkt nattevakt hverdag</v>
      </c>
      <c r="M18" s="570">
        <f>'I fjor'!M18</f>
        <v>0.91666666666666663</v>
      </c>
      <c r="O18" s="221" t="str">
        <f>'I fjor'!O18</f>
        <v>Sluttidspunkt kveldsvakt hverdag</v>
      </c>
      <c r="Z18" s="570">
        <f>'I fjor'!Z18</f>
        <v>0.92708333333333337</v>
      </c>
      <c r="BB18" s="221" t="s">
        <v>136</v>
      </c>
    </row>
    <row r="19" spans="1:169">
      <c r="B19" s="221" t="str">
        <f>'I fjor'!B19</f>
        <v>Starttidspunkt nattevakt helg/helligdag</v>
      </c>
      <c r="M19" s="571">
        <f>'I fjor'!M19</f>
        <v>0.91666666666666663</v>
      </c>
      <c r="O19" s="221" t="str">
        <f>'I fjor'!O19</f>
        <v>Sluttidspunkt kveldsvakt helg/helligdag</v>
      </c>
      <c r="Z19" s="571">
        <f>'I fjor'!Z19</f>
        <v>0.92708333333333337</v>
      </c>
    </row>
    <row r="20" spans="1:169">
      <c r="A20" s="780"/>
      <c r="B20" s="781"/>
      <c r="C20" s="781"/>
      <c r="D20" s="781"/>
      <c r="E20" s="781"/>
      <c r="F20" s="781"/>
      <c r="G20" s="781"/>
      <c r="H20" s="781"/>
      <c r="I20" s="781"/>
      <c r="J20" s="781"/>
      <c r="K20" s="781"/>
      <c r="L20" s="781"/>
      <c r="M20" s="877"/>
      <c r="N20" s="781"/>
      <c r="O20" s="781"/>
      <c r="P20" s="781"/>
      <c r="Q20" s="781"/>
      <c r="R20" s="781"/>
      <c r="S20" s="781"/>
      <c r="T20" s="781"/>
      <c r="U20" s="781"/>
      <c r="V20" s="781"/>
      <c r="W20" s="781"/>
      <c r="X20" s="781"/>
      <c r="Y20" s="781"/>
      <c r="Z20" s="877"/>
      <c r="AA20" s="782"/>
    </row>
    <row r="21" spans="1:169" s="238" customFormat="1" ht="25.5" customHeight="1">
      <c r="A21" s="439"/>
      <c r="B21" s="733" t="str">
        <f>'I fjor'!B21:Q21</f>
        <v>Antall tilstede og arbeidstid fylles ut på grunnlag av bemanningsplanen</v>
      </c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678"/>
      <c r="R21" s="748" t="str">
        <f>'I fjor'!R21:R24</f>
        <v>Antall årsverk i bemanningsplanen</v>
      </c>
      <c r="S21" s="676" t="str">
        <f>'I fjor'!S21:T22</f>
        <v>Overtid  (gjennomsnitt)</v>
      </c>
      <c r="T21" s="709"/>
      <c r="U21" s="742" t="str">
        <f>'I fjor'!U21:V21</f>
        <v xml:space="preserve">Innleie av vikarer </v>
      </c>
      <c r="V21" s="743"/>
      <c r="W21" s="748" t="str">
        <f>'I fjor'!W21:W22</f>
        <v>Gjennomsnitt-lig grunnlønn pr. årsverk</v>
      </c>
      <c r="X21" s="748" t="str">
        <f>'I fjor'!X21:X24</f>
        <v>Antall årsverk  (inkl fast ansatte) utover be. plan</v>
      </c>
      <c r="Y21" s="748" t="str">
        <f>'I fjor'!Y21:Y24</f>
        <v>Fast ansatte utover bemannings-plan (overbooking)</v>
      </c>
      <c r="Z21" s="748" t="str">
        <f>'I fjor'!Z21:Z24</f>
        <v>Arbeidstid pr uke</v>
      </c>
      <c r="AA21" s="748" t="str">
        <f>'I fjor'!AA21:AA23</f>
        <v>Lønnsutgifter fratrukket refusjon folketrygden (beregnet)</v>
      </c>
      <c r="AB21" s="234" t="s">
        <v>29</v>
      </c>
      <c r="AC21" s="235"/>
      <c r="AD21" s="235"/>
      <c r="AE21" s="235"/>
      <c r="AF21" s="235"/>
      <c r="AG21" s="235"/>
      <c r="AH21" s="235"/>
      <c r="AI21" s="236" t="s">
        <v>30</v>
      </c>
      <c r="AJ21" s="237"/>
      <c r="AK21" s="237"/>
      <c r="AL21" s="237"/>
      <c r="AM21" s="235"/>
      <c r="AN21" s="235"/>
      <c r="AO21" s="235"/>
      <c r="AP21" s="235"/>
      <c r="AQ21" s="235"/>
      <c r="AR21" s="235"/>
      <c r="AS21" s="235"/>
      <c r="AT21" s="235"/>
      <c r="AU21" s="235"/>
      <c r="AW21" s="236" t="s">
        <v>31</v>
      </c>
      <c r="AX21" s="235"/>
      <c r="AY21" s="235"/>
      <c r="AZ21" s="235"/>
      <c r="BA21" s="239"/>
      <c r="BB21" s="239">
        <v>45</v>
      </c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6" t="s">
        <v>32</v>
      </c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40" t="s">
        <v>126</v>
      </c>
      <c r="BY21" s="241">
        <v>1.33</v>
      </c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</row>
    <row r="22" spans="1:169" s="238" customFormat="1" ht="15.75" customHeight="1">
      <c r="A22" s="440"/>
      <c r="B22" s="751" t="str">
        <f>'I fjor'!B22:I22</f>
        <v>Antall tilstede i gjennomsnitt pr vakt</v>
      </c>
      <c r="C22" s="752"/>
      <c r="D22" s="752"/>
      <c r="E22" s="752"/>
      <c r="F22" s="752"/>
      <c r="G22" s="752"/>
      <c r="H22" s="752"/>
      <c r="I22" s="753"/>
      <c r="J22" s="751" t="str">
        <f>'I fjor'!J22:Q22</f>
        <v>Arbeidstid pr vakt (eventuell passiv vakt omregnes)</v>
      </c>
      <c r="K22" s="752"/>
      <c r="L22" s="752"/>
      <c r="M22" s="752"/>
      <c r="N22" s="752"/>
      <c r="O22" s="752"/>
      <c r="P22" s="752"/>
      <c r="Q22" s="753"/>
      <c r="R22" s="749"/>
      <c r="S22" s="710"/>
      <c r="T22" s="712"/>
      <c r="U22" s="744" t="str">
        <f>'I fjor'!U22:U23</f>
        <v>Ferie-avvikling</v>
      </c>
      <c r="V22" s="744" t="str">
        <f>'I fjor'!V22:V23</f>
        <v>Annen bruk av vikarer</v>
      </c>
      <c r="W22" s="750"/>
      <c r="X22" s="749"/>
      <c r="Y22" s="749"/>
      <c r="Z22" s="749"/>
      <c r="AA22" s="749"/>
      <c r="AB22" s="237" t="str">
        <f>$J23</f>
        <v>Hverdag</v>
      </c>
      <c r="AC22" s="235" t="str">
        <f>$J23</f>
        <v>Hverdag</v>
      </c>
      <c r="AD22" s="235" t="str">
        <f>$J23</f>
        <v>Hverdag</v>
      </c>
      <c r="AE22" s="235" t="str">
        <f>$N23</f>
        <v>Helg/helligdag</v>
      </c>
      <c r="AF22" s="235" t="str">
        <f>$N23</f>
        <v>Helg/helligdag</v>
      </c>
      <c r="AG22" s="235" t="str">
        <f>$N23</f>
        <v>Helg/helligdag</v>
      </c>
      <c r="AH22" s="235" t="str">
        <f>$N23</f>
        <v>Helg/helligdag</v>
      </c>
      <c r="AI22" s="242"/>
      <c r="AJ22" s="237"/>
      <c r="AK22" s="237"/>
      <c r="AL22" s="237"/>
      <c r="AM22" s="235"/>
      <c r="AN22" s="240" t="s">
        <v>127</v>
      </c>
      <c r="AO22" s="243">
        <v>14.5</v>
      </c>
      <c r="AP22" s="235"/>
      <c r="AQ22" s="235"/>
      <c r="AR22" s="235"/>
      <c r="AS22" s="235"/>
      <c r="AT22" s="235"/>
      <c r="AU22" s="235"/>
      <c r="AW22" s="242"/>
      <c r="AX22" s="235"/>
      <c r="AY22" s="235" t="s">
        <v>134</v>
      </c>
      <c r="AZ22" s="239">
        <v>52</v>
      </c>
      <c r="BA22" s="239">
        <v>290</v>
      </c>
      <c r="BB22" s="239">
        <v>54</v>
      </c>
      <c r="BD22" s="235"/>
      <c r="BE22" s="235"/>
      <c r="BF22" s="235"/>
      <c r="BG22" s="235"/>
      <c r="BH22" s="235"/>
      <c r="BI22" s="235"/>
      <c r="BJ22" s="235"/>
      <c r="BK22" s="235"/>
      <c r="BL22" s="235"/>
      <c r="BM22" s="242"/>
      <c r="BN22" s="235"/>
      <c r="BO22" s="235"/>
      <c r="BP22" s="235" t="s">
        <v>133</v>
      </c>
      <c r="BQ22" s="235"/>
      <c r="BR22" s="235" t="s">
        <v>140</v>
      </c>
      <c r="BS22" s="239">
        <v>1850</v>
      </c>
      <c r="BT22" s="235"/>
      <c r="BU22" s="235"/>
      <c r="BV22" s="235"/>
      <c r="BW22" s="235"/>
      <c r="BX22" s="235"/>
      <c r="BY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</row>
    <row r="23" spans="1:169" s="238" customFormat="1" ht="15" customHeight="1">
      <c r="A23" s="441"/>
      <c r="B23" s="720" t="str">
        <f>'I fjor'!B23:E23</f>
        <v>Hverdag</v>
      </c>
      <c r="C23" s="717"/>
      <c r="D23" s="717"/>
      <c r="E23" s="718"/>
      <c r="F23" s="720" t="str">
        <f>'I fjor'!F23:I23</f>
        <v>Helg/helligdag</v>
      </c>
      <c r="G23" s="717"/>
      <c r="H23" s="717"/>
      <c r="I23" s="718"/>
      <c r="J23" s="720" t="str">
        <f>'I fjor'!J23:M23</f>
        <v>Hverdag</v>
      </c>
      <c r="K23" s="717"/>
      <c r="L23" s="717"/>
      <c r="M23" s="718"/>
      <c r="N23" s="720" t="str">
        <f>'I fjor'!N23:Q23</f>
        <v>Helg/helligdag</v>
      </c>
      <c r="O23" s="717"/>
      <c r="P23" s="717"/>
      <c r="Q23" s="718"/>
      <c r="R23" s="749"/>
      <c r="S23" s="720" t="str">
        <f>'I fjor'!S23:T23</f>
        <v>Timer pr. uke</v>
      </c>
      <c r="T23" s="719"/>
      <c r="U23" s="745"/>
      <c r="V23" s="745"/>
      <c r="W23" s="748" t="str">
        <f>'I fjor'!W23:W24</f>
        <v>1000 kr per år</v>
      </c>
      <c r="X23" s="749"/>
      <c r="Y23" s="749"/>
      <c r="Z23" s="749"/>
      <c r="AA23" s="749"/>
      <c r="AB23" s="244" t="str">
        <f>K24</f>
        <v>Kveld</v>
      </c>
      <c r="AC23" s="244" t="str">
        <f>L24</f>
        <v>Langvakt</v>
      </c>
      <c r="AD23" s="244" t="str">
        <f>M24</f>
        <v>Natt</v>
      </c>
      <c r="AE23" s="244" t="str">
        <f>O24</f>
        <v>Kveld</v>
      </c>
      <c r="AF23" s="244" t="str">
        <f>P24</f>
        <v>Langvakt</v>
      </c>
      <c r="AG23" s="244" t="str">
        <f>Q24</f>
        <v>Natt</v>
      </c>
      <c r="AH23" s="244" t="str">
        <f>Q24</f>
        <v>Natt</v>
      </c>
      <c r="AI23" s="245" t="s">
        <v>9</v>
      </c>
      <c r="AJ23" s="246" t="s">
        <v>9</v>
      </c>
      <c r="AK23" s="246" t="s">
        <v>9</v>
      </c>
      <c r="AL23" s="246" t="s">
        <v>9</v>
      </c>
      <c r="AM23" s="247" t="s">
        <v>55</v>
      </c>
      <c r="AN23" s="247" t="s">
        <v>55</v>
      </c>
      <c r="AO23" s="247" t="s">
        <v>56</v>
      </c>
      <c r="AP23" s="235"/>
      <c r="AQ23" s="235" t="s">
        <v>58</v>
      </c>
      <c r="AR23" s="746" t="str">
        <f>U21</f>
        <v xml:space="preserve">Innleie av vikarer </v>
      </c>
      <c r="AS23" s="747"/>
      <c r="AT23" s="248"/>
      <c r="AU23" s="235"/>
      <c r="AW23" s="242"/>
      <c r="AX23" s="235"/>
      <c r="AY23" s="235" t="s">
        <v>135</v>
      </c>
      <c r="AZ23" s="239">
        <v>50</v>
      </c>
      <c r="BA23" s="249">
        <v>349.99990000000003</v>
      </c>
      <c r="BB23" s="239">
        <v>56</v>
      </c>
      <c r="BC23" s="235" t="str">
        <f>AR23</f>
        <v xml:space="preserve">Innleie av vikarer </v>
      </c>
      <c r="BD23" s="235"/>
      <c r="BE23" s="235"/>
      <c r="BF23" s="235"/>
      <c r="BG23" s="235"/>
      <c r="BH23" s="235"/>
      <c r="BI23" s="235"/>
      <c r="BJ23" s="235"/>
      <c r="BK23" s="235"/>
      <c r="BL23" s="235"/>
      <c r="BM23" s="242"/>
      <c r="BN23" s="235"/>
      <c r="BO23" s="235"/>
      <c r="BP23" s="243">
        <f>21+2/3</f>
        <v>21.666666666666668</v>
      </c>
      <c r="BQ23" s="235"/>
      <c r="BR23" s="739" t="s">
        <v>139</v>
      </c>
      <c r="BS23" s="740"/>
      <c r="BT23" s="740"/>
      <c r="BU23" s="740"/>
      <c r="BV23" s="741"/>
      <c r="BW23" s="235"/>
      <c r="BX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</row>
    <row r="24" spans="1:169" s="238" customFormat="1" ht="24.75" customHeight="1">
      <c r="A24" s="442"/>
      <c r="B24" s="319" t="str">
        <f>'I fjor'!B24</f>
        <v>Dag</v>
      </c>
      <c r="C24" s="320" t="str">
        <f>'I fjor'!C24</f>
        <v>Kveld</v>
      </c>
      <c r="D24" s="301" t="str">
        <f>'I fjor'!D24</f>
        <v>Langvakt</v>
      </c>
      <c r="E24" s="320" t="str">
        <f>'I fjor'!E24</f>
        <v>Natt</v>
      </c>
      <c r="F24" s="321" t="str">
        <f t="shared" ref="F24:H24" si="0">B24</f>
        <v>Dag</v>
      </c>
      <c r="G24" s="320" t="str">
        <f t="shared" si="0"/>
        <v>Kveld</v>
      </c>
      <c r="H24" s="301" t="str">
        <f t="shared" si="0"/>
        <v>Langvakt</v>
      </c>
      <c r="I24" s="320" t="str">
        <f t="shared" ref="I24:Q24" si="1">E24</f>
        <v>Natt</v>
      </c>
      <c r="J24" s="321" t="str">
        <f t="shared" si="1"/>
        <v>Dag</v>
      </c>
      <c r="K24" s="322" t="str">
        <f t="shared" si="1"/>
        <v>Kveld</v>
      </c>
      <c r="L24" s="301" t="str">
        <f t="shared" si="1"/>
        <v>Langvakt</v>
      </c>
      <c r="M24" s="320" t="str">
        <f t="shared" si="1"/>
        <v>Natt</v>
      </c>
      <c r="N24" s="321" t="str">
        <f t="shared" si="1"/>
        <v>Dag</v>
      </c>
      <c r="O24" s="322" t="str">
        <f t="shared" si="1"/>
        <v>Kveld</v>
      </c>
      <c r="P24" s="301" t="str">
        <f t="shared" si="1"/>
        <v>Langvakt</v>
      </c>
      <c r="Q24" s="320" t="str">
        <f t="shared" si="1"/>
        <v>Natt</v>
      </c>
      <c r="R24" s="750"/>
      <c r="S24" s="323">
        <f>'I fjor'!S24</f>
        <v>0.5</v>
      </c>
      <c r="T24" s="324" t="str">
        <f>'I fjor'!T24</f>
        <v>100 %</v>
      </c>
      <c r="U24" s="720" t="str">
        <f>'I fjor'!U24:V24</f>
        <v>Andel av fast</v>
      </c>
      <c r="V24" s="719"/>
      <c r="W24" s="750"/>
      <c r="X24" s="750"/>
      <c r="Y24" s="750"/>
      <c r="Z24" s="750"/>
      <c r="AA24" s="325" t="str">
        <f>'I fjor'!AA24</f>
        <v>Helår (1000 kr)</v>
      </c>
      <c r="AB24" s="250" t="s">
        <v>70</v>
      </c>
      <c r="AC24" s="250" t="s">
        <v>70</v>
      </c>
      <c r="AD24" s="250" t="s">
        <v>71</v>
      </c>
      <c r="AE24" s="250" t="s">
        <v>70</v>
      </c>
      <c r="AF24" s="250" t="s">
        <v>70</v>
      </c>
      <c r="AG24" s="250" t="s">
        <v>71</v>
      </c>
      <c r="AH24" s="251" t="s">
        <v>72</v>
      </c>
      <c r="AI24" s="252"/>
      <c r="AJ24" s="253" t="s">
        <v>73</v>
      </c>
      <c r="AK24" s="253" t="s">
        <v>149</v>
      </c>
      <c r="AL24" s="253" t="s">
        <v>74</v>
      </c>
      <c r="AM24" s="250" t="s">
        <v>75</v>
      </c>
      <c r="AN24" s="250" t="s">
        <v>76</v>
      </c>
      <c r="AO24" s="250" t="s">
        <v>77</v>
      </c>
      <c r="AP24" s="250" t="s">
        <v>17</v>
      </c>
      <c r="AQ24" s="253" t="s">
        <v>79</v>
      </c>
      <c r="AR24" s="254" t="str">
        <f>U22</f>
        <v>Ferie-avvikling</v>
      </c>
      <c r="AS24" s="255" t="str">
        <f>V22</f>
        <v>Annen bruk av vikarer</v>
      </c>
      <c r="AT24" s="253" t="s">
        <v>145</v>
      </c>
      <c r="AU24" s="253" t="s">
        <v>46</v>
      </c>
      <c r="AW24" s="256" t="s">
        <v>83</v>
      </c>
      <c r="AX24" s="253"/>
      <c r="AY24" s="250" t="s">
        <v>84</v>
      </c>
      <c r="AZ24" s="250" t="s">
        <v>85</v>
      </c>
      <c r="BA24" s="250" t="s">
        <v>86</v>
      </c>
      <c r="BB24" s="250" t="s">
        <v>87</v>
      </c>
      <c r="BC24" s="235" t="str">
        <f>AR24</f>
        <v>Ferie-avvikling</v>
      </c>
      <c r="BD24" s="235" t="str">
        <f>AS24</f>
        <v>Annen bruk av vikarer</v>
      </c>
      <c r="BE24" s="250" t="s">
        <v>91</v>
      </c>
      <c r="BF24" s="250" t="s">
        <v>92</v>
      </c>
      <c r="BG24" s="250" t="s">
        <v>93</v>
      </c>
      <c r="BH24" s="250" t="s">
        <v>46</v>
      </c>
      <c r="BI24" s="250" t="s">
        <v>94</v>
      </c>
      <c r="BJ24" s="250"/>
      <c r="BK24" s="250" t="s">
        <v>95</v>
      </c>
      <c r="BL24" s="250" t="s">
        <v>96</v>
      </c>
      <c r="BM24" s="256" t="s">
        <v>97</v>
      </c>
      <c r="BN24" s="253" t="s">
        <v>128</v>
      </c>
      <c r="BO24" s="253" t="s">
        <v>132</v>
      </c>
      <c r="BP24" s="253" t="s">
        <v>129</v>
      </c>
      <c r="BQ24" s="253" t="s">
        <v>130</v>
      </c>
      <c r="BR24" s="257">
        <v>0.5</v>
      </c>
      <c r="BS24" s="258">
        <v>0.75</v>
      </c>
      <c r="BT24" s="258">
        <v>1</v>
      </c>
      <c r="BU24" s="258">
        <v>1.33</v>
      </c>
      <c r="BV24" s="259">
        <v>2</v>
      </c>
      <c r="BW24" s="253" t="str">
        <f>BB24</f>
        <v>Nattillegg</v>
      </c>
      <c r="BX24" s="240" t="s">
        <v>131</v>
      </c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</row>
    <row r="25" spans="1:169" s="238" customFormat="1" ht="15.75">
      <c r="A25" s="443" t="str">
        <f>'I fjor'!A25</f>
        <v>I turnus</v>
      </c>
      <c r="B25" s="569">
        <f>'I fjor'!B25</f>
        <v>5.62</v>
      </c>
      <c r="C25" s="444">
        <f>'I fjor'!C25</f>
        <v>4</v>
      </c>
      <c r="D25" s="444">
        <f>'I fjor'!D25</f>
        <v>0</v>
      </c>
      <c r="E25" s="444">
        <f>'I fjor'!E25</f>
        <v>1</v>
      </c>
      <c r="F25" s="569">
        <f>'I fjor'!F25</f>
        <v>4</v>
      </c>
      <c r="G25" s="444">
        <f>'I fjor'!G25</f>
        <v>4</v>
      </c>
      <c r="H25" s="444">
        <f>'I fjor'!H25</f>
        <v>0</v>
      </c>
      <c r="I25" s="444">
        <f>'I fjor'!I25</f>
        <v>1</v>
      </c>
      <c r="J25" s="445">
        <f>'I fjor'!J25</f>
        <v>7.6</v>
      </c>
      <c r="K25" s="446">
        <f>'I fjor'!K25</f>
        <v>7.8</v>
      </c>
      <c r="L25" s="446">
        <f>'I fjor'!L25</f>
        <v>0</v>
      </c>
      <c r="M25" s="446">
        <f>'I fjor'!M25</f>
        <v>9.5</v>
      </c>
      <c r="N25" s="445">
        <f>'I fjor'!N25</f>
        <v>7.5</v>
      </c>
      <c r="O25" s="446">
        <f>'I fjor'!O25</f>
        <v>7.75</v>
      </c>
      <c r="P25" s="446">
        <f>'I fjor'!P25</f>
        <v>0</v>
      </c>
      <c r="Q25" s="446">
        <f>'I fjor'!Q25</f>
        <v>9.5</v>
      </c>
      <c r="R25" s="613">
        <f>+AP25</f>
        <v>15.719999999999999</v>
      </c>
      <c r="S25" s="445">
        <f>'I fjor'!S25</f>
        <v>10</v>
      </c>
      <c r="T25" s="331">
        <f>'I fjor'!T25</f>
        <v>21.5</v>
      </c>
      <c r="U25" s="332">
        <f>'I fjor'!U25</f>
        <v>0.11</v>
      </c>
      <c r="V25" s="332">
        <f>'I fjor'!V25</f>
        <v>0.05</v>
      </c>
      <c r="W25" s="450">
        <f>'I fjor'!W25</f>
        <v>430.44499999999999</v>
      </c>
      <c r="X25" s="451">
        <f>+AP25+Y25</f>
        <v>15.719999999999999</v>
      </c>
      <c r="Y25" s="452">
        <f>'I fjor'!Y25</f>
        <v>0</v>
      </c>
      <c r="Z25" s="453">
        <f>'I fjor'!Z25</f>
        <v>35.5</v>
      </c>
      <c r="AA25" s="573">
        <f>BH25</f>
        <v>13093</v>
      </c>
      <c r="AB25" s="260">
        <f>$AB$3*24</f>
        <v>5.25</v>
      </c>
      <c r="AC25" s="261">
        <f>AB25</f>
        <v>5.25</v>
      </c>
      <c r="AD25" s="262">
        <f>6+($AD$3*24)</f>
        <v>8</v>
      </c>
      <c r="AE25" s="260">
        <f>$AE$3*24</f>
        <v>5.25</v>
      </c>
      <c r="AF25" s="261">
        <f>AE25</f>
        <v>5.25</v>
      </c>
      <c r="AG25" s="262">
        <f>6+($AD$3*24)</f>
        <v>8</v>
      </c>
      <c r="AH25" s="261">
        <v>7.25</v>
      </c>
      <c r="AI25" s="263">
        <f>SUMPRODUCT(B25:E25,J25:M25)*5+ SUMPRODUCT(F25:I25,N25:Q25)*2</f>
        <v>558.05999999999995</v>
      </c>
      <c r="AJ25" s="263">
        <f>SUMPRODUCT(B25:E25,J25:M25)*5</f>
        <v>417.05999999999995</v>
      </c>
      <c r="AK25" s="263">
        <f>B25*J25*5</f>
        <v>213.55999999999997</v>
      </c>
      <c r="AL25" s="263">
        <f>+SUMPRODUCT(F25:I25*N25:Q25)*2</f>
        <v>141</v>
      </c>
      <c r="AM25" s="264">
        <f>((C25*AB25)+(D25*AC25)+(E25*AD25))*5+((G25*AE25)+(H25*AF25)+(I25*AG25))*2</f>
        <v>203</v>
      </c>
      <c r="AN25" s="265">
        <f>SUMPRODUCT(F25:I25,N25:Q25)*2</f>
        <v>141</v>
      </c>
      <c r="AO25" s="264">
        <f>((H25*P25)+(I25*Q25)+(G25*O25)+(F25*N25))*$AO$22</f>
        <v>1022.25</v>
      </c>
      <c r="AP25" s="266">
        <f>AI25/Z25</f>
        <v>15.719999999999999</v>
      </c>
      <c r="AQ25" s="267">
        <f>+AI25</f>
        <v>558.05999999999995</v>
      </c>
      <c r="AR25" s="264">
        <f>+U25*$AQ25</f>
        <v>61.386599999999994</v>
      </c>
      <c r="AS25" s="264">
        <f>+V25*$AQ25</f>
        <v>27.902999999999999</v>
      </c>
      <c r="AT25" s="268">
        <f>SUM(S25:T25)</f>
        <v>31.5</v>
      </c>
      <c r="AU25" s="269">
        <f>SUM(AQ25:AT25)</f>
        <v>678.84960000000001</v>
      </c>
      <c r="AW25" s="242"/>
      <c r="AX25" s="235" t="str">
        <f>A25</f>
        <v>I turnus</v>
      </c>
      <c r="AY25" s="270">
        <f>TRUNC(BN25*X25/1000)</f>
        <v>6766</v>
      </c>
      <c r="AZ25" s="264">
        <f>TRUNC($AZ$22*AN25*$AZ$23*(1+$Z$15))/1000</f>
        <v>366.6</v>
      </c>
      <c r="BA25" s="264">
        <f>TRUNC(AO25*BX25*(1-$Z$17)/1000)</f>
        <v>317</v>
      </c>
      <c r="BB25" s="264">
        <f>TRUNC(AM25*$AZ$22*BW25*(1+$Z$16))/1000</f>
        <v>591.13599999999997</v>
      </c>
      <c r="BC25" s="264">
        <f>TRUNC((SUM(AY25:BB25)+SUM(BE25:BE25))*V25)</f>
        <v>437</v>
      </c>
      <c r="BD25" s="264">
        <f>TRUNC((SUM(AY25:BB25)+SUM(BE25:BE25))*U25)</f>
        <v>961</v>
      </c>
      <c r="BE25" s="264">
        <f>TRUNC($AZ$22*((S25*BR25)+(T25*BT25))/1000)</f>
        <v>701</v>
      </c>
      <c r="BF25" s="264">
        <f>(AY25+AZ25+BB25)*$M$16</f>
        <v>1699.2219200000002</v>
      </c>
      <c r="BG25" s="264">
        <f>SUM(AY25:BF25)*$M$15</f>
        <v>1254.9295395199999</v>
      </c>
      <c r="BH25" s="264">
        <f>TRUNC(SUM(AY25:BG25))</f>
        <v>13093</v>
      </c>
      <c r="BI25" s="264">
        <f>+AY25+AZ25+BB25+BA25</f>
        <v>8040.7360000000008</v>
      </c>
      <c r="BJ25" s="264"/>
      <c r="BK25" s="264">
        <f>+BH25-BI25-BL25</f>
        <v>2098.1125404799991</v>
      </c>
      <c r="BL25" s="271">
        <f>+BF25+BG25</f>
        <v>2954.1514595200001</v>
      </c>
      <c r="BM25" s="237">
        <f>W25</f>
        <v>430.44499999999999</v>
      </c>
      <c r="BN25" s="272">
        <f>W25*1000</f>
        <v>430445</v>
      </c>
      <c r="BO25" s="269">
        <f>BN25/12</f>
        <v>35870.416666666664</v>
      </c>
      <c r="BP25" s="272">
        <f>BO25/$BP$23</f>
        <v>1655.5576923076922</v>
      </c>
      <c r="BQ25" s="272">
        <f>BP25/Z25*5</f>
        <v>233.1771397616468</v>
      </c>
      <c r="BR25" s="273">
        <f>$BN25/$BS$22*(1+$BR$24)</f>
        <v>349.00945945945949</v>
      </c>
      <c r="BS25" s="267">
        <f>$BN25/$BS$22*(1+$BS$24)</f>
        <v>407.17770270270273</v>
      </c>
      <c r="BT25" s="267">
        <f>$BN25/$BS$22*(1+$BT$24)</f>
        <v>465.34594594594597</v>
      </c>
      <c r="BU25" s="267">
        <f>$BN25/$BS$22*(1+$BU$24)</f>
        <v>542.12802702702709</v>
      </c>
      <c r="BV25" s="274">
        <f>$BN25/$BS$22*(1+$BV$24)</f>
        <v>698.01891891891898</v>
      </c>
      <c r="BW25" s="274">
        <f>+IF(W25&lt;$BA$22,$BB$21,IF(W25&gt;$BA$23,$BB$23,$BB$22))</f>
        <v>56</v>
      </c>
      <c r="BX25" s="272">
        <f>$BY$21*BQ25</f>
        <v>310.12559588299024</v>
      </c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</row>
    <row r="26" spans="1:169" s="284" customFormat="1" ht="15.75">
      <c r="A26" s="254" t="str">
        <f>'I fjor'!A26</f>
        <v>Alle andre</v>
      </c>
      <c r="B26" s="455">
        <f>'I fjor'!B26</f>
        <v>0.9</v>
      </c>
      <c r="C26" s="454">
        <f>'I fjor'!C26</f>
        <v>0</v>
      </c>
      <c r="D26" s="454">
        <f>'I fjor'!D26</f>
        <v>0</v>
      </c>
      <c r="E26" s="454">
        <f>'I fjor'!E26</f>
        <v>0</v>
      </c>
      <c r="F26" s="455">
        <f>'I fjor'!F26</f>
        <v>0</v>
      </c>
      <c r="G26" s="454">
        <f>'I fjor'!G26</f>
        <v>0</v>
      </c>
      <c r="H26" s="454">
        <f>'I fjor'!H26</f>
        <v>0</v>
      </c>
      <c r="I26" s="454">
        <f>'I fjor'!I26</f>
        <v>0</v>
      </c>
      <c r="J26" s="456">
        <f>'I fjor'!J26</f>
        <v>7.5</v>
      </c>
      <c r="K26" s="457">
        <f>'I fjor'!K26</f>
        <v>0</v>
      </c>
      <c r="L26" s="457">
        <f>'I fjor'!L26</f>
        <v>0</v>
      </c>
      <c r="M26" s="457">
        <f>'I fjor'!M26</f>
        <v>0</v>
      </c>
      <c r="N26" s="456">
        <f>'I fjor'!N26</f>
        <v>0</v>
      </c>
      <c r="O26" s="457">
        <f>'I fjor'!O26</f>
        <v>0</v>
      </c>
      <c r="P26" s="457">
        <f>'I fjor'!P26</f>
        <v>0</v>
      </c>
      <c r="Q26" s="457">
        <f>'I fjor'!Q26</f>
        <v>0</v>
      </c>
      <c r="R26" s="614">
        <f>+AP26</f>
        <v>0.9</v>
      </c>
      <c r="S26" s="456">
        <f>'I fjor'!S26</f>
        <v>0</v>
      </c>
      <c r="T26" s="459">
        <f>'I fjor'!T26</f>
        <v>0</v>
      </c>
      <c r="U26" s="460">
        <f>'I fjor'!U26</f>
        <v>0</v>
      </c>
      <c r="V26" s="460">
        <f>'I fjor'!V26</f>
        <v>0</v>
      </c>
      <c r="W26" s="450">
        <f>'I fjor'!W26</f>
        <v>570</v>
      </c>
      <c r="X26" s="461">
        <f>+AP26</f>
        <v>0.9</v>
      </c>
      <c r="Y26" s="462">
        <f>'I fjor'!Y26</f>
        <v>0</v>
      </c>
      <c r="Z26" s="463">
        <f>'I fjor'!Z26</f>
        <v>37.5</v>
      </c>
      <c r="AA26" s="574">
        <f>BH26</f>
        <v>692</v>
      </c>
      <c r="AB26" s="275">
        <f>AB25</f>
        <v>5.25</v>
      </c>
      <c r="AC26" s="275">
        <f>AC25</f>
        <v>5.25</v>
      </c>
      <c r="AD26" s="276">
        <f>6+($AD$3*24)</f>
        <v>8</v>
      </c>
      <c r="AE26" s="275">
        <f>AE25</f>
        <v>5.25</v>
      </c>
      <c r="AF26" s="275">
        <f>AF25</f>
        <v>5.25</v>
      </c>
      <c r="AG26" s="276">
        <f>6+($AD$3*24)</f>
        <v>8</v>
      </c>
      <c r="AH26" s="275"/>
      <c r="AI26" s="277">
        <f>SUMPRODUCT(B26:E26,J26:M26)*5+ SUMPRODUCT(F26:I26,N26:Q26)*2</f>
        <v>33.75</v>
      </c>
      <c r="AJ26" s="277">
        <f>SUMPRODUCT(B26:E26,J26:M26)*5</f>
        <v>33.75</v>
      </c>
      <c r="AK26" s="277">
        <f>B26*J26*5</f>
        <v>33.75</v>
      </c>
      <c r="AL26" s="277">
        <f>+SUMPRODUCT(F26:I26*N26:Q26)*2</f>
        <v>0</v>
      </c>
      <c r="AM26" s="278">
        <f>((C26*AB26)+(D26*AC26)+(E26*AD26))*5+((G26*AE26)+(H26*AF26)+(I26*AG26))*2</f>
        <v>0</v>
      </c>
      <c r="AN26" s="279">
        <f>SUMPRODUCT(F26:I26,N26:Q26)*2</f>
        <v>0</v>
      </c>
      <c r="AO26" s="278">
        <f>((H26*P26)+(I26*Q26)+(G26*O26)+(F26*N26))*$AO$22</f>
        <v>0</v>
      </c>
      <c r="AP26" s="280">
        <f>AI26/Z26</f>
        <v>0.9</v>
      </c>
      <c r="AQ26" s="281">
        <f>+AI26</f>
        <v>33.75</v>
      </c>
      <c r="AR26" s="278">
        <f>+U26*$AQ26</f>
        <v>0</v>
      </c>
      <c r="AS26" s="278">
        <f>+V26*$AQ26</f>
        <v>0</v>
      </c>
      <c r="AT26" s="282">
        <f>SUM(S26:T26)</f>
        <v>0</v>
      </c>
      <c r="AU26" s="283">
        <f>SUM(AQ26:AT26)</f>
        <v>33.75</v>
      </c>
      <c r="AW26" s="252"/>
      <c r="AX26" s="253" t="str">
        <f>A26</f>
        <v>Alle andre</v>
      </c>
      <c r="AY26" s="285">
        <f>TRUNC(BN26*X26/1000)</f>
        <v>513</v>
      </c>
      <c r="AZ26" s="278">
        <f>TRUNC($AZ$22*AN26*$AZ$23*(1+$Z$15))/1000</f>
        <v>0</v>
      </c>
      <c r="BA26" s="278">
        <f>TRUNC(AO26*BX26*(1-$Z$17)/1000)</f>
        <v>0</v>
      </c>
      <c r="BB26" s="278">
        <f>TRUNC(AM26*$AZ$22*BW26*(1+$Z$16))/1000</f>
        <v>0</v>
      </c>
      <c r="BC26" s="278">
        <f>TRUNC((SUM(AY26:BB26)+SUM(BE26:BE26))*V26)</f>
        <v>0</v>
      </c>
      <c r="BD26" s="278">
        <f>TRUNC((SUM(AY26:BB26)+SUM(BE26:BE26))*U26)</f>
        <v>0</v>
      </c>
      <c r="BE26" s="278">
        <f>TRUNC($AZ$22*((S26*BR26)+(T26*BT26))/1000)</f>
        <v>0</v>
      </c>
      <c r="BF26" s="278">
        <f>+AY26*$M$16</f>
        <v>112.86</v>
      </c>
      <c r="BG26" s="278">
        <f>SUM(AY26:BF26)*$M$15</f>
        <v>66.341160000000002</v>
      </c>
      <c r="BH26" s="278">
        <f>TRUNC(SUM(AY26:BG26))</f>
        <v>692</v>
      </c>
      <c r="BI26" s="278">
        <f>+AY26+AZ26+BB26+BA26</f>
        <v>513</v>
      </c>
      <c r="BJ26" s="278"/>
      <c r="BK26" s="278">
        <f>+BH26-BI26-BL26</f>
        <v>-0.20116000000001577</v>
      </c>
      <c r="BL26" s="286">
        <f>+BF26+BG26</f>
        <v>179.20116000000002</v>
      </c>
      <c r="BM26" s="253">
        <f>W26</f>
        <v>570</v>
      </c>
      <c r="BN26" s="272">
        <f>W26*1000</f>
        <v>570000</v>
      </c>
      <c r="BO26" s="283">
        <f>BN26/12</f>
        <v>47500</v>
      </c>
      <c r="BP26" s="272">
        <f>BO26/$BP$23</f>
        <v>2192.3076923076924</v>
      </c>
      <c r="BQ26" s="272">
        <f>BP26/Z26*5</f>
        <v>292.30769230769232</v>
      </c>
      <c r="BR26" s="287">
        <f>$BN26/$BS$22*(1+$BR$24)</f>
        <v>462.16216216216219</v>
      </c>
      <c r="BS26" s="281">
        <f>$BN26/$BS$22*(1+$BS$24)</f>
        <v>539.18918918918916</v>
      </c>
      <c r="BT26" s="281">
        <f>$BN26/$BS$22*(1+$BT$24)</f>
        <v>616.21621621621625</v>
      </c>
      <c r="BU26" s="281">
        <f>$BN26/$BS$22*(1+$BU$24)</f>
        <v>717.89189189189199</v>
      </c>
      <c r="BV26" s="288">
        <f>$BN26/$BS$22*(1+$BV$24)</f>
        <v>924.32432432432438</v>
      </c>
      <c r="BW26" s="288">
        <f>+IF(W26&lt;$BA$22,$BB$21,IF(W26&gt;$BA$23,$BB$23,$BB$22))</f>
        <v>56</v>
      </c>
      <c r="BX26" s="272">
        <f>$BY$21*BQ26</f>
        <v>388.76923076923083</v>
      </c>
      <c r="CC26" s="253"/>
      <c r="CD26" s="253"/>
      <c r="CE26" s="253"/>
      <c r="CF26" s="253"/>
      <c r="CG26" s="253"/>
      <c r="CH26" s="253"/>
      <c r="CI26" s="253"/>
      <c r="CJ26" s="253"/>
      <c r="CK26" s="253"/>
      <c r="CL26" s="253"/>
      <c r="CM26" s="253"/>
      <c r="CN26" s="253"/>
      <c r="CO26" s="253"/>
      <c r="CP26" s="253"/>
      <c r="CQ26" s="253"/>
      <c r="CR26" s="253"/>
      <c r="CS26" s="253"/>
      <c r="CT26" s="253"/>
      <c r="CU26" s="253"/>
      <c r="CV26" s="253"/>
      <c r="CW26" s="253"/>
      <c r="CX26" s="253"/>
      <c r="CY26" s="253"/>
      <c r="CZ26" s="253"/>
      <c r="DA26" s="253"/>
      <c r="DB26" s="253"/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3"/>
      <c r="DO26" s="253"/>
      <c r="DP26" s="253"/>
      <c r="DQ26" s="253"/>
      <c r="DR26" s="253"/>
      <c r="DS26" s="253"/>
      <c r="DT26" s="253"/>
      <c r="DU26" s="253"/>
      <c r="DV26" s="253"/>
      <c r="DW26" s="253"/>
      <c r="DX26" s="253"/>
      <c r="DY26" s="253"/>
      <c r="DZ26" s="253"/>
      <c r="EA26" s="253"/>
      <c r="EB26" s="253"/>
      <c r="EC26" s="253"/>
      <c r="ED26" s="253"/>
      <c r="EE26" s="253"/>
      <c r="EF26" s="253"/>
      <c r="EG26" s="253"/>
      <c r="EH26" s="253"/>
      <c r="EI26" s="253"/>
      <c r="EJ26" s="253"/>
      <c r="EK26" s="253"/>
      <c r="EL26" s="253"/>
      <c r="EM26" s="253"/>
      <c r="EN26" s="253"/>
      <c r="EO26" s="253"/>
      <c r="EP26" s="253"/>
      <c r="EQ26" s="253"/>
      <c r="ER26" s="253"/>
      <c r="ES26" s="253"/>
      <c r="ET26" s="253"/>
      <c r="EU26" s="253"/>
      <c r="EV26" s="253"/>
      <c r="EW26" s="253"/>
      <c r="EX26" s="253"/>
      <c r="EY26" s="253"/>
      <c r="EZ26" s="253"/>
      <c r="FA26" s="253"/>
      <c r="FB26" s="253"/>
      <c r="FC26" s="253"/>
      <c r="FD26" s="253"/>
      <c r="FE26" s="253"/>
      <c r="FF26" s="253"/>
      <c r="FG26" s="253"/>
      <c r="FH26" s="253"/>
      <c r="FI26" s="253"/>
      <c r="FJ26" s="253"/>
      <c r="FK26" s="253"/>
    </row>
    <row r="27" spans="1:169" s="234" customFormat="1" ht="15.75">
      <c r="A27" s="780" t="str">
        <f>'I fjor'!A27:AA27</f>
        <v>Beregnede utgifter sammenliknes med regnskapstall, sykefravær og antall vakter som må ringes etter, antall nytilsettinger.</v>
      </c>
      <c r="B27" s="781"/>
      <c r="C27" s="781"/>
      <c r="D27" s="781"/>
      <c r="E27" s="781"/>
      <c r="F27" s="781"/>
      <c r="G27" s="781"/>
      <c r="H27" s="781"/>
      <c r="I27" s="781"/>
      <c r="J27" s="781"/>
      <c r="K27" s="781"/>
      <c r="L27" s="781"/>
      <c r="M27" s="781"/>
      <c r="N27" s="781"/>
      <c r="O27" s="781"/>
      <c r="P27" s="781"/>
      <c r="Q27" s="781"/>
      <c r="R27" s="781"/>
      <c r="S27" s="781"/>
      <c r="T27" s="781"/>
      <c r="U27" s="781"/>
      <c r="V27" s="781"/>
      <c r="W27" s="781"/>
      <c r="X27" s="781"/>
      <c r="Y27" s="781"/>
      <c r="Z27" s="781"/>
      <c r="AA27" s="782"/>
      <c r="AB27" s="260"/>
      <c r="AC27" s="260"/>
      <c r="AD27" s="260"/>
      <c r="AE27" s="260"/>
      <c r="AF27" s="260"/>
      <c r="AG27" s="260"/>
      <c r="AH27" s="260"/>
      <c r="AI27" s="289"/>
      <c r="AJ27" s="289"/>
      <c r="AK27" s="289"/>
      <c r="AL27" s="289"/>
      <c r="AM27" s="290"/>
      <c r="AN27" s="231"/>
      <c r="AO27" s="290"/>
      <c r="AP27" s="291"/>
      <c r="AQ27" s="292"/>
      <c r="AR27" s="290"/>
      <c r="AS27" s="290"/>
      <c r="AT27" s="293"/>
      <c r="AU27" s="292"/>
      <c r="AW27" s="237"/>
      <c r="AX27" s="237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37"/>
      <c r="BN27" s="272"/>
      <c r="BO27" s="292"/>
      <c r="BP27" s="272"/>
      <c r="BQ27" s="272"/>
      <c r="BR27" s="292"/>
      <c r="BS27" s="292"/>
      <c r="BT27" s="292"/>
      <c r="BU27" s="292"/>
      <c r="BV27" s="292"/>
      <c r="BW27" s="292"/>
      <c r="BX27" s="272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7"/>
      <c r="EL27" s="237"/>
      <c r="EM27" s="237"/>
      <c r="EN27" s="237"/>
      <c r="EO27" s="237"/>
      <c r="EP27" s="237"/>
      <c r="EQ27" s="237"/>
      <c r="ER27" s="237"/>
      <c r="ES27" s="237"/>
      <c r="ET27" s="237"/>
      <c r="EU27" s="237"/>
      <c r="EV27" s="237"/>
      <c r="EW27" s="237"/>
      <c r="EX27" s="237"/>
      <c r="EY27" s="237"/>
      <c r="EZ27" s="237"/>
      <c r="FA27" s="237"/>
      <c r="FB27" s="237"/>
      <c r="FC27" s="237"/>
      <c r="FD27" s="237"/>
      <c r="FE27" s="237"/>
      <c r="FF27" s="237"/>
      <c r="FG27" s="237"/>
      <c r="FH27" s="237"/>
      <c r="FI27" s="237"/>
      <c r="FJ27" s="237"/>
      <c r="FK27" s="237"/>
    </row>
    <row r="28" spans="1:169" s="234" customFormat="1" ht="114.75" customHeight="1">
      <c r="A28" s="641" t="str">
        <f>'I fjor'!A28:B28</f>
        <v>Lønnsutgifter fratrukket refusjon folketrygden (medregnet dagstillinger)+ utgifter til vikarbyrå</v>
      </c>
      <c r="B28" s="643"/>
      <c r="C28" s="428" t="str">
        <f>'I fjor'!C28</f>
        <v>Grunn-lønn faste stillinger</v>
      </c>
      <c r="D28" s="428" t="str">
        <f>'I fjor'!D28</f>
        <v>Lør- og søn-dags-tillegg</v>
      </c>
      <c r="E28" s="428" t="str">
        <f>'I fjor'!E28</f>
        <v>Hellig-dags-tillegg</v>
      </c>
      <c r="F28" s="428" t="str">
        <f>'I fjor'!F28</f>
        <v>Natt-tillegg</v>
      </c>
      <c r="G28" s="428" t="str">
        <f>'I fjor'!G28</f>
        <v>Innleie av vikarer (utover ref folketrygd og eks ferieavvikling )</v>
      </c>
      <c r="H28" s="428" t="str">
        <f>'I fjor'!H28</f>
        <v>Innleie av vikarer til ferie-avvik-ling</v>
      </c>
      <c r="I28" s="428" t="str">
        <f>'I fjor'!I28</f>
        <v>Overtid</v>
      </c>
      <c r="J28" s="428" t="str">
        <f>'I fjor'!J28</f>
        <v>Pen-sjons-premie</v>
      </c>
      <c r="K28" s="428" t="str">
        <f>'I fjor'!K28</f>
        <v>Arbeids-giver-avgift</v>
      </c>
      <c r="L28" s="429" t="str">
        <f>'I fjor'!L28</f>
        <v>Totalt</v>
      </c>
      <c r="M28" s="869"/>
      <c r="N28" s="792" t="s">
        <v>167</v>
      </c>
      <c r="O28" s="793"/>
      <c r="P28" s="794"/>
      <c r="Q28" s="465" t="str">
        <f>'I fjor'!Q28</f>
        <v>Andel innleide ved korttids-fravær</v>
      </c>
      <c r="T28" s="792" t="str">
        <f>'I fjor'!T28:V28</f>
        <v>Indikator for arbeid vedr å ringe etter vakter</v>
      </c>
      <c r="U28" s="793"/>
      <c r="V28" s="794"/>
      <c r="W28" s="872" t="str">
        <f>'I fjor'!W28:X28</f>
        <v>Totalt antall vakter  leid inn (hentet fra turnussystem)</v>
      </c>
      <c r="X28" s="873"/>
      <c r="Y28" s="466"/>
      <c r="Z28" s="792" t="str">
        <f>'I fjor'!Z28:AA28</f>
        <v>Nytilsettinger</v>
      </c>
      <c r="AA28" s="794"/>
      <c r="AB28" s="294"/>
      <c r="AC28" s="260" t="s">
        <v>170</v>
      </c>
      <c r="AD28" s="260" t="s">
        <v>171</v>
      </c>
      <c r="AE28" s="260"/>
      <c r="AF28" s="260"/>
      <c r="AG28" s="260"/>
      <c r="AH28" s="260"/>
      <c r="AI28" s="260"/>
      <c r="AJ28" s="289"/>
      <c r="AK28" s="289"/>
      <c r="AL28" s="289"/>
      <c r="AM28" s="289"/>
      <c r="AN28" s="290"/>
      <c r="AO28" s="231"/>
      <c r="AP28" s="290"/>
      <c r="AQ28" s="291"/>
      <c r="AR28" s="292"/>
      <c r="AS28" s="290"/>
      <c r="AT28" s="290"/>
      <c r="AU28" s="293"/>
      <c r="AV28" s="292"/>
      <c r="AX28" s="237"/>
      <c r="AY28" s="237"/>
      <c r="AZ28" s="290"/>
      <c r="BA28" s="290"/>
      <c r="BB28" s="290"/>
      <c r="BC28" s="290"/>
      <c r="BD28" s="290"/>
      <c r="BE28" s="290"/>
      <c r="BF28" s="290"/>
      <c r="BG28" s="290"/>
      <c r="BH28" s="290"/>
      <c r="BI28" s="290"/>
      <c r="BJ28" s="290"/>
      <c r="BK28" s="290"/>
      <c r="BL28" s="290"/>
      <c r="BM28" s="290"/>
      <c r="BN28" s="237"/>
      <c r="BO28" s="272"/>
      <c r="BP28" s="292"/>
      <c r="BQ28" s="272"/>
      <c r="BR28" s="272"/>
      <c r="BS28" s="292"/>
      <c r="BT28" s="292"/>
      <c r="BU28" s="292"/>
      <c r="BV28" s="292"/>
      <c r="BW28" s="292"/>
      <c r="BX28" s="292"/>
      <c r="BY28" s="272"/>
      <c r="CD28" s="237"/>
      <c r="CE28" s="237"/>
      <c r="CF28" s="237"/>
      <c r="CG28" s="237"/>
      <c r="CH28" s="237"/>
      <c r="CI28" s="237"/>
      <c r="CJ28" s="237"/>
      <c r="CK28" s="237"/>
      <c r="CL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7"/>
      <c r="EL28" s="237"/>
      <c r="EM28" s="237"/>
      <c r="EN28" s="237"/>
      <c r="EO28" s="237"/>
      <c r="EP28" s="237"/>
      <c r="EQ28" s="237"/>
      <c r="ER28" s="237"/>
      <c r="ES28" s="237"/>
      <c r="ET28" s="237"/>
      <c r="EU28" s="237"/>
      <c r="EV28" s="237"/>
      <c r="EW28" s="237"/>
      <c r="EX28" s="237"/>
      <c r="EY28" s="237"/>
      <c r="EZ28" s="237"/>
      <c r="FA28" s="237"/>
      <c r="FB28" s="237"/>
      <c r="FC28" s="237"/>
      <c r="FD28" s="237"/>
      <c r="FE28" s="237"/>
      <c r="FF28" s="237"/>
      <c r="FG28" s="237"/>
      <c r="FH28" s="237"/>
      <c r="FI28" s="237"/>
      <c r="FJ28" s="237"/>
      <c r="FK28" s="237"/>
      <c r="FL28" s="237"/>
    </row>
    <row r="29" spans="1:169" s="234" customFormat="1" ht="15.75">
      <c r="A29" s="851" t="str">
        <f>'I fjor'!A29:B29</f>
        <v>Beregnet</v>
      </c>
      <c r="B29" s="852"/>
      <c r="C29" s="575">
        <f t="shared" ref="C29:L29" si="2">+AY25+AY26</f>
        <v>7279</v>
      </c>
      <c r="D29" s="576">
        <f t="shared" si="2"/>
        <v>366.6</v>
      </c>
      <c r="E29" s="576">
        <f t="shared" si="2"/>
        <v>317</v>
      </c>
      <c r="F29" s="576">
        <f t="shared" si="2"/>
        <v>591.13599999999997</v>
      </c>
      <c r="G29" s="576">
        <f t="shared" si="2"/>
        <v>437</v>
      </c>
      <c r="H29" s="576">
        <f t="shared" si="2"/>
        <v>961</v>
      </c>
      <c r="I29" s="576">
        <f t="shared" si="2"/>
        <v>701</v>
      </c>
      <c r="J29" s="576">
        <f t="shared" si="2"/>
        <v>1812.0819200000001</v>
      </c>
      <c r="K29" s="577">
        <f t="shared" si="2"/>
        <v>1321.2706995199999</v>
      </c>
      <c r="L29" s="578">
        <f t="shared" si="2"/>
        <v>13785</v>
      </c>
      <c r="M29" s="870"/>
      <c r="N29" s="848" t="str">
        <f>'I fjor'!N29:O29</f>
        <v>Langtidsfravær</v>
      </c>
      <c r="O29" s="849"/>
      <c r="P29" s="468">
        <f>'I fjor'!P29</f>
        <v>0.16500000000000001</v>
      </c>
      <c r="Q29" s="469"/>
      <c r="T29" s="848" t="s">
        <v>50</v>
      </c>
      <c r="U29" s="849"/>
      <c r="V29" s="850"/>
      <c r="W29" s="874">
        <f>'I fjor'!W29</f>
        <v>937.5</v>
      </c>
      <c r="X29" s="875">
        <f>'I fjor'!X29</f>
        <v>0</v>
      </c>
      <c r="Y29" s="295"/>
      <c r="Z29" s="470" t="str">
        <f>'I fjor'!Z29</f>
        <v xml:space="preserve">Antall </v>
      </c>
      <c r="AA29" s="471">
        <f>'I fjor'!AA29</f>
        <v>2</v>
      </c>
      <c r="AB29" s="294"/>
      <c r="AC29" s="296">
        <v>47</v>
      </c>
      <c r="AD29" s="296">
        <v>47</v>
      </c>
      <c r="AE29" s="260">
        <f>+Z25*47</f>
        <v>1668.5</v>
      </c>
      <c r="AF29" s="260"/>
      <c r="AG29" s="260"/>
      <c r="AH29" s="260"/>
      <c r="AI29" s="260"/>
      <c r="AJ29" s="289"/>
      <c r="AK29" s="289"/>
      <c r="AL29" s="289"/>
      <c r="AM29" s="289"/>
      <c r="AN29" s="290"/>
      <c r="AO29" s="231"/>
      <c r="AP29" s="290"/>
      <c r="AQ29" s="291"/>
      <c r="AR29" s="292"/>
      <c r="AS29" s="290"/>
      <c r="AT29" s="290"/>
      <c r="AU29" s="293"/>
      <c r="AV29" s="292"/>
      <c r="AX29" s="237"/>
      <c r="AY29" s="237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37"/>
      <c r="BO29" s="272"/>
      <c r="BP29" s="292"/>
      <c r="BQ29" s="272"/>
      <c r="BR29" s="272"/>
      <c r="BS29" s="292"/>
      <c r="BT29" s="292"/>
      <c r="BU29" s="292"/>
      <c r="BV29" s="292"/>
      <c r="BW29" s="292"/>
      <c r="BX29" s="292"/>
      <c r="BY29" s="272"/>
      <c r="CD29" s="237"/>
      <c r="CE29" s="237"/>
      <c r="CF29" s="237"/>
      <c r="CG29" s="237"/>
      <c r="CH29" s="237"/>
      <c r="CI29" s="237"/>
      <c r="CJ29" s="237"/>
      <c r="CK29" s="237"/>
      <c r="CL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7"/>
      <c r="EL29" s="237"/>
      <c r="EM29" s="237"/>
      <c r="EN29" s="237"/>
      <c r="EO29" s="237"/>
      <c r="EP29" s="237"/>
      <c r="EQ29" s="237"/>
      <c r="ER29" s="237"/>
      <c r="ES29" s="237"/>
      <c r="ET29" s="237"/>
      <c r="EU29" s="237"/>
      <c r="EV29" s="237"/>
      <c r="EW29" s="237"/>
      <c r="EX29" s="237"/>
      <c r="EY29" s="237"/>
      <c r="EZ29" s="237"/>
      <c r="FA29" s="237"/>
      <c r="FB29" s="237"/>
      <c r="FC29" s="237"/>
      <c r="FD29" s="237"/>
      <c r="FE29" s="237"/>
      <c r="FF29" s="237"/>
      <c r="FG29" s="237"/>
      <c r="FH29" s="237"/>
      <c r="FI29" s="237"/>
      <c r="FJ29" s="237"/>
      <c r="FK29" s="237"/>
      <c r="FL29" s="237"/>
    </row>
    <row r="30" spans="1:169" s="234" customFormat="1" ht="15.75">
      <c r="A30" s="851" t="s">
        <v>220</v>
      </c>
      <c r="B30" s="852"/>
      <c r="C30" s="585"/>
      <c r="D30" s="586" t="s">
        <v>101</v>
      </c>
      <c r="E30" s="586"/>
      <c r="F30" s="586"/>
      <c r="G30" s="586"/>
      <c r="H30" s="586"/>
      <c r="I30" s="586"/>
      <c r="J30" s="586"/>
      <c r="K30" s="587"/>
      <c r="L30" s="580">
        <f>'I fjor'!L30</f>
        <v>13800</v>
      </c>
      <c r="M30" s="871"/>
      <c r="N30" s="853" t="str">
        <f>'I fjor'!N30:O30</f>
        <v>Korttidsfravær</v>
      </c>
      <c r="O30" s="854"/>
      <c r="P30" s="472">
        <f>'I fjor'!P30</f>
        <v>4.7E-2</v>
      </c>
      <c r="Q30" s="473">
        <f>'I fjor'!Q30</f>
        <v>0.8</v>
      </c>
      <c r="T30" s="829" t="str">
        <f>'I fjor'!T30:V30</f>
        <v>Andel  av faste vakter</v>
      </c>
      <c r="U30" s="830"/>
      <c r="V30" s="831"/>
      <c r="W30" s="846">
        <f>W29/CM30</f>
        <v>0.28054582996678334</v>
      </c>
      <c r="X30" s="847"/>
      <c r="Y30" s="474"/>
      <c r="Z30" s="475" t="str">
        <f>'I fjor'!Z30</f>
        <v>Andel</v>
      </c>
      <c r="AA30" s="476">
        <f>AA29/F44</f>
        <v>6.8965517241379309E-2</v>
      </c>
      <c r="AB30" s="294"/>
      <c r="AC30" s="297">
        <f>SUM(F25:I25)*($AC$29)+SUM(B25:E25)*$AD$29</f>
        <v>922.1400000000001</v>
      </c>
      <c r="AD30" s="297">
        <f>AJ25*AD29+AC29*AL25</f>
        <v>26228.819999999996</v>
      </c>
      <c r="AE30" s="293">
        <f>X25</f>
        <v>15.719999999999999</v>
      </c>
      <c r="AF30" s="260"/>
      <c r="AG30" s="260"/>
      <c r="AH30" s="260"/>
      <c r="AI30" s="260"/>
      <c r="AJ30" s="289"/>
      <c r="AK30" s="289"/>
      <c r="AL30" s="289"/>
      <c r="AM30" s="289"/>
      <c r="AN30" s="290"/>
      <c r="AO30" s="231"/>
      <c r="AP30" s="290"/>
      <c r="AQ30" s="291"/>
      <c r="AR30" s="292"/>
      <c r="AS30" s="290"/>
      <c r="AT30" s="290"/>
      <c r="AU30" s="293"/>
      <c r="AV30" s="292"/>
      <c r="AX30" s="237"/>
      <c r="AY30" s="237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37"/>
      <c r="BO30" s="272"/>
      <c r="BP30" s="292"/>
      <c r="BQ30" s="272"/>
      <c r="BR30" s="272"/>
      <c r="BS30" s="292"/>
      <c r="BT30" s="292"/>
      <c r="BU30" s="292"/>
      <c r="BV30" s="292"/>
      <c r="BW30" s="292"/>
      <c r="BX30" s="292"/>
      <c r="BY30" s="272"/>
      <c r="CF30" s="237"/>
      <c r="CG30" s="237"/>
      <c r="CH30" s="237"/>
      <c r="CI30" s="237"/>
      <c r="CJ30" s="237"/>
      <c r="CK30" s="237"/>
      <c r="CL30" s="237"/>
      <c r="CM30" s="297">
        <f>SUM(F25:I25)*($AC$29)*2+SUM(B25:E25)*($AD$29)*5</f>
        <v>3341.7000000000003</v>
      </c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7"/>
      <c r="EL30" s="237"/>
      <c r="EM30" s="237"/>
      <c r="EN30" s="237"/>
      <c r="EO30" s="237"/>
      <c r="EP30" s="237"/>
      <c r="EQ30" s="237"/>
      <c r="ER30" s="237"/>
      <c r="ES30" s="237"/>
      <c r="ET30" s="237"/>
      <c r="EU30" s="237"/>
      <c r="EV30" s="237"/>
      <c r="EW30" s="237"/>
      <c r="EX30" s="237"/>
      <c r="EY30" s="237"/>
      <c r="EZ30" s="237"/>
      <c r="FA30" s="237"/>
      <c r="FB30" s="237"/>
      <c r="FC30" s="237"/>
      <c r="FD30" s="237"/>
      <c r="FE30" s="237"/>
      <c r="FF30" s="237"/>
      <c r="FG30" s="237"/>
      <c r="FH30" s="237"/>
      <c r="FI30" s="237"/>
      <c r="FJ30" s="237"/>
      <c r="FK30" s="237"/>
      <c r="FL30" s="237"/>
    </row>
    <row r="31" spans="1:169" s="234" customFormat="1" ht="15.75">
      <c r="A31" s="780" t="str">
        <f>'I fjor'!A31:AA31</f>
        <v>Ansatte og vikarer. Hvor mange hadde ulik stillingsprosent, går i ulike type turnus. I hvilken grad fyller de kvalifikasjonskravene?</v>
      </c>
      <c r="B31" s="781"/>
      <c r="C31" s="781"/>
      <c r="D31" s="781"/>
      <c r="E31" s="781"/>
      <c r="F31" s="781"/>
      <c r="G31" s="781"/>
      <c r="H31" s="781"/>
      <c r="I31" s="781"/>
      <c r="J31" s="781"/>
      <c r="K31" s="781"/>
      <c r="L31" s="781"/>
      <c r="M31" s="781"/>
      <c r="N31" s="781"/>
      <c r="O31" s="781"/>
      <c r="P31" s="781"/>
      <c r="Q31" s="781"/>
      <c r="R31" s="781"/>
      <c r="S31" s="781"/>
      <c r="T31" s="781"/>
      <c r="U31" s="781"/>
      <c r="V31" s="781"/>
      <c r="W31" s="781"/>
      <c r="X31" s="781"/>
      <c r="Y31" s="781"/>
      <c r="Z31" s="781"/>
      <c r="AA31" s="782"/>
      <c r="AB31" s="260"/>
      <c r="AC31" s="260"/>
      <c r="AD31" s="260"/>
      <c r="AE31" s="260"/>
      <c r="AF31" s="260"/>
      <c r="AG31" s="260"/>
      <c r="AH31" s="260"/>
      <c r="AI31" s="289"/>
      <c r="AJ31" s="289"/>
      <c r="AK31" s="289"/>
      <c r="AL31" s="289"/>
      <c r="AM31" s="290"/>
      <c r="AN31" s="231"/>
      <c r="AO31" s="290"/>
      <c r="AP31" s="291"/>
      <c r="AQ31" s="292"/>
      <c r="AR31" s="290"/>
      <c r="AS31" s="290"/>
      <c r="AT31" s="293"/>
      <c r="AU31" s="292"/>
      <c r="AW31" s="237"/>
      <c r="AX31" s="237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37"/>
      <c r="BN31" s="272"/>
      <c r="BO31" s="292"/>
      <c r="BP31" s="272"/>
      <c r="BQ31" s="272"/>
      <c r="BR31" s="292"/>
      <c r="BS31" s="292"/>
      <c r="BT31" s="292"/>
      <c r="BU31" s="292"/>
      <c r="BV31" s="292"/>
      <c r="BW31" s="292"/>
      <c r="BX31" s="272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7"/>
      <c r="EL31" s="237"/>
      <c r="EM31" s="237"/>
      <c r="EN31" s="237"/>
      <c r="EO31" s="237"/>
      <c r="EP31" s="237"/>
      <c r="EQ31" s="237"/>
      <c r="ER31" s="237"/>
      <c r="ES31" s="237"/>
      <c r="ET31" s="237"/>
      <c r="EU31" s="237"/>
      <c r="EV31" s="237"/>
      <c r="EW31" s="237"/>
      <c r="EX31" s="237"/>
      <c r="EY31" s="237"/>
      <c r="EZ31" s="237"/>
      <c r="FA31" s="237"/>
      <c r="FB31" s="237"/>
      <c r="FC31" s="237"/>
      <c r="FD31" s="237"/>
      <c r="FE31" s="237"/>
      <c r="FF31" s="237"/>
      <c r="FG31" s="237"/>
      <c r="FH31" s="237"/>
      <c r="FI31" s="237"/>
      <c r="FJ31" s="237"/>
      <c r="FK31" s="237"/>
    </row>
    <row r="32" spans="1:169" s="234" customFormat="1" ht="15" customHeight="1">
      <c r="A32" s="733" t="s">
        <v>154</v>
      </c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597"/>
      <c r="O32" s="867" t="str">
        <f>'I fjor'!O32:U32</f>
        <v>Andelen faglærte</v>
      </c>
      <c r="P32" s="867"/>
      <c r="Q32" s="867"/>
      <c r="R32" s="867"/>
      <c r="S32" s="867"/>
      <c r="T32" s="867"/>
      <c r="U32" s="868"/>
      <c r="V32" s="597"/>
      <c r="W32" s="855" t="str">
        <f>'I fjor'!W32:AA32</f>
        <v>Beregnet antall årsverk brukt</v>
      </c>
      <c r="X32" s="856"/>
      <c r="Y32" s="856"/>
      <c r="Z32" s="856"/>
      <c r="AA32" s="868"/>
      <c r="AB32" s="298"/>
      <c r="AC32" s="298"/>
      <c r="AD32" s="299"/>
      <c r="AE32" s="260"/>
      <c r="AF32" s="260"/>
      <c r="AG32" s="260"/>
      <c r="AH32" s="260"/>
      <c r="AI32" s="260"/>
      <c r="AJ32" s="260"/>
      <c r="AK32" s="289"/>
      <c r="AL32" s="289"/>
      <c r="AM32" s="289"/>
      <c r="AN32" s="289"/>
      <c r="AO32" s="290"/>
      <c r="AP32" s="231"/>
      <c r="AQ32" s="290"/>
      <c r="AR32" s="291"/>
      <c r="AS32" s="292"/>
      <c r="AT32" s="290"/>
      <c r="AU32" s="290"/>
      <c r="AV32" s="293"/>
      <c r="AW32" s="292"/>
      <c r="AY32" s="237"/>
      <c r="AZ32" s="237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37"/>
      <c r="BP32" s="272"/>
      <c r="BQ32" s="292"/>
      <c r="BR32" s="272"/>
      <c r="BS32" s="272"/>
      <c r="BT32" s="292"/>
      <c r="BU32" s="292"/>
      <c r="BV32" s="292"/>
      <c r="BW32" s="292"/>
      <c r="BX32" s="292"/>
      <c r="BY32" s="292"/>
      <c r="BZ32" s="272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7"/>
      <c r="EL32" s="237"/>
      <c r="EM32" s="237"/>
      <c r="EN32" s="237"/>
      <c r="EO32" s="237"/>
      <c r="EP32" s="237"/>
      <c r="EQ32" s="237"/>
      <c r="ER32" s="237"/>
      <c r="ES32" s="237"/>
      <c r="ET32" s="237"/>
      <c r="EU32" s="237"/>
      <c r="EV32" s="237"/>
      <c r="EW32" s="237"/>
      <c r="EX32" s="237"/>
      <c r="EY32" s="237"/>
      <c r="EZ32" s="237"/>
      <c r="FA32" s="237"/>
      <c r="FB32" s="237"/>
      <c r="FC32" s="237"/>
      <c r="FD32" s="237"/>
      <c r="FE32" s="237"/>
      <c r="FF32" s="237"/>
      <c r="FG32" s="237"/>
      <c r="FH32" s="237"/>
      <c r="FI32" s="237"/>
      <c r="FJ32" s="237"/>
      <c r="FK32" s="237"/>
      <c r="FL32" s="237"/>
      <c r="FM32" s="237"/>
    </row>
    <row r="33" spans="1:172" s="234" customFormat="1" ht="51.75" customHeight="1">
      <c r="A33" s="690" t="s">
        <v>238</v>
      </c>
      <c r="B33" s="691"/>
      <c r="C33" s="691"/>
      <c r="D33" s="691"/>
      <c r="E33" s="692"/>
      <c r="F33" s="677" t="str">
        <f>'I fjor'!F33:G34</f>
        <v>Antall fast ansatte i de ulike vaktordninger innenfor plan, utover plan og faste ringevikarer</v>
      </c>
      <c r="G33" s="677"/>
      <c r="H33" s="769" t="s">
        <v>239</v>
      </c>
      <c r="I33" s="703"/>
      <c r="J33" s="703"/>
      <c r="K33" s="704"/>
      <c r="L33" s="677" t="s">
        <v>184</v>
      </c>
      <c r="M33" s="677"/>
      <c r="N33" s="598"/>
      <c r="O33" s="775" t="str">
        <f>'I fjor'!O33:U33</f>
        <v>Antall ansatte som fyller faglige kvalifikasjonskrav til stillingen/funksjonen de utfører (AUTORISERTE )</v>
      </c>
      <c r="P33" s="775"/>
      <c r="Q33" s="775"/>
      <c r="R33" s="775"/>
      <c r="S33" s="775"/>
      <c r="T33" s="775"/>
      <c r="U33" s="776"/>
      <c r="V33" s="600"/>
      <c r="W33" s="360" t="str">
        <f>'I fjor'!W33</f>
        <v>Fast ansatte (inkl utover bem. plan)</v>
      </c>
      <c r="X33" s="361" t="str">
        <f>'I fjor'!X33</f>
        <v>Innleie til  ferie-avvikling</v>
      </c>
      <c r="Y33" s="477" t="str">
        <f>'I fjor'!Y33</f>
        <v>Innleie av vikarer til annen bruk</v>
      </c>
      <c r="Z33" s="478" t="str">
        <f>'I fjor'!Z33</f>
        <v>Overtid</v>
      </c>
      <c r="AA33" s="478" t="str">
        <f>'I fjor'!AA33</f>
        <v>Totalt</v>
      </c>
      <c r="AB33" s="295"/>
      <c r="AC33" s="296"/>
      <c r="AD33" s="296"/>
      <c r="AE33" s="237"/>
      <c r="AF33" s="260"/>
      <c r="AG33" s="260"/>
      <c r="AH33" s="260"/>
      <c r="AI33" s="260"/>
      <c r="AJ33" s="260"/>
      <c r="AK33" s="260"/>
      <c r="AL33" s="260"/>
      <c r="AM33" s="289"/>
      <c r="AN33" s="289"/>
      <c r="AO33" s="289"/>
      <c r="AP33" s="289"/>
      <c r="AQ33" s="290"/>
      <c r="AR33" s="231"/>
      <c r="AS33" s="290"/>
      <c r="AT33" s="291"/>
      <c r="AU33" s="292"/>
      <c r="AV33" s="290"/>
      <c r="AW33" s="290"/>
      <c r="AX33" s="293"/>
      <c r="AY33" s="292"/>
      <c r="BA33" s="237"/>
      <c r="BB33" s="237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37"/>
      <c r="BR33" s="272"/>
      <c r="BS33" s="292"/>
      <c r="BT33" s="272"/>
      <c r="BU33" s="272"/>
      <c r="BV33" s="292"/>
      <c r="BW33" s="292"/>
      <c r="BX33" s="292"/>
      <c r="BY33" s="292"/>
      <c r="BZ33" s="292"/>
      <c r="CA33" s="292"/>
      <c r="CB33" s="272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7"/>
      <c r="EL33" s="237"/>
      <c r="EM33" s="237"/>
      <c r="EN33" s="237"/>
      <c r="EO33" s="237"/>
      <c r="EP33" s="237"/>
      <c r="EQ33" s="237"/>
      <c r="ER33" s="237"/>
      <c r="ES33" s="237"/>
      <c r="ET33" s="237"/>
      <c r="EU33" s="237"/>
      <c r="EV33" s="237"/>
      <c r="EW33" s="237"/>
      <c r="EX33" s="237"/>
      <c r="EY33" s="237"/>
      <c r="EZ33" s="237"/>
      <c r="FA33" s="237"/>
      <c r="FB33" s="237"/>
      <c r="FC33" s="237"/>
      <c r="FD33" s="237"/>
      <c r="FE33" s="237"/>
      <c r="FF33" s="237"/>
      <c r="FG33" s="237"/>
      <c r="FH33" s="237"/>
      <c r="FI33" s="237"/>
      <c r="FJ33" s="237"/>
      <c r="FK33" s="237"/>
      <c r="FL33" s="237"/>
      <c r="FM33" s="237"/>
      <c r="FN33" s="237"/>
      <c r="FO33" s="237"/>
    </row>
    <row r="34" spans="1:172" s="234" customFormat="1" ht="21.75" customHeight="1">
      <c r="A34" s="693"/>
      <c r="B34" s="694"/>
      <c r="C34" s="694"/>
      <c r="D34" s="694"/>
      <c r="E34" s="695"/>
      <c r="F34" s="711"/>
      <c r="G34" s="711"/>
      <c r="H34" s="363" t="s">
        <v>157</v>
      </c>
      <c r="I34" s="364" t="s">
        <v>158</v>
      </c>
      <c r="J34" s="364" t="s">
        <v>159</v>
      </c>
      <c r="K34" s="365" t="s">
        <v>162</v>
      </c>
      <c r="L34" s="711"/>
      <c r="M34" s="711"/>
      <c r="N34" s="598"/>
      <c r="O34" s="482"/>
      <c r="P34" s="483"/>
      <c r="Q34" s="479" t="str">
        <f>'I fjor'!Q34</f>
        <v>Under 30 %</v>
      </c>
      <c r="R34" s="480" t="str">
        <f>'I fjor'!R34</f>
        <v>30 til 50%</v>
      </c>
      <c r="S34" s="480" t="str">
        <f>'I fjor'!S34</f>
        <v>50 til 80 %</v>
      </c>
      <c r="T34" s="481" t="str">
        <f>'I fjor'!T34</f>
        <v>Over 80 %</v>
      </c>
      <c r="U34" s="484" t="str">
        <f>'I fjor'!U34</f>
        <v>Totalt</v>
      </c>
      <c r="V34" s="598"/>
      <c r="W34" s="485">
        <f>X25</f>
        <v>15.719999999999999</v>
      </c>
      <c r="X34" s="486">
        <f>(AR25)/$Z$25</f>
        <v>1.7291999999999998</v>
      </c>
      <c r="Y34" s="486">
        <f>(AS25)/$Z$25</f>
        <v>0.78599999999999992</v>
      </c>
      <c r="Z34" s="486">
        <f>(+AT25)/$Z$25</f>
        <v>0.88732394366197187</v>
      </c>
      <c r="AA34" s="487">
        <f>SUM(W34:Z34)</f>
        <v>19.122523943661971</v>
      </c>
      <c r="AB34" s="300"/>
      <c r="AC34" s="295"/>
      <c r="AD34" s="296"/>
      <c r="AE34" s="296"/>
      <c r="AF34" s="237"/>
      <c r="AG34" s="260"/>
      <c r="AH34" s="260"/>
      <c r="AI34" s="260"/>
      <c r="AJ34" s="260"/>
      <c r="AK34" s="260"/>
      <c r="AL34" s="260"/>
      <c r="AM34" s="260"/>
      <c r="AN34" s="289"/>
      <c r="AO34" s="289"/>
      <c r="AP34" s="289"/>
      <c r="AQ34" s="289"/>
      <c r="AR34" s="290"/>
      <c r="AS34" s="231"/>
      <c r="AT34" s="290"/>
      <c r="AU34" s="291"/>
      <c r="AV34" s="292"/>
      <c r="AW34" s="290"/>
      <c r="AX34" s="290"/>
      <c r="AY34" s="293"/>
      <c r="AZ34" s="292"/>
      <c r="BB34" s="237"/>
      <c r="BC34" s="237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37"/>
      <c r="BS34" s="272"/>
      <c r="BT34" s="292"/>
      <c r="BU34" s="272"/>
      <c r="BV34" s="272"/>
      <c r="BW34" s="292"/>
      <c r="BX34" s="292"/>
      <c r="BY34" s="292"/>
      <c r="BZ34" s="292"/>
      <c r="CA34" s="292"/>
      <c r="CB34" s="292"/>
      <c r="CC34" s="272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7"/>
      <c r="EL34" s="237"/>
      <c r="EM34" s="237"/>
      <c r="EN34" s="237"/>
      <c r="EO34" s="237"/>
      <c r="EP34" s="237"/>
      <c r="EQ34" s="237"/>
      <c r="ER34" s="237"/>
      <c r="ES34" s="237"/>
      <c r="ET34" s="237"/>
      <c r="EU34" s="237"/>
      <c r="EV34" s="237"/>
      <c r="EW34" s="237"/>
      <c r="EX34" s="237"/>
      <c r="EY34" s="237"/>
      <c r="EZ34" s="237"/>
      <c r="FA34" s="237"/>
      <c r="FB34" s="237"/>
      <c r="FC34" s="237"/>
      <c r="FD34" s="237"/>
      <c r="FE34" s="237"/>
      <c r="FF34" s="237"/>
      <c r="FG34" s="237"/>
      <c r="FH34" s="237"/>
      <c r="FI34" s="237"/>
      <c r="FJ34" s="237"/>
      <c r="FK34" s="237"/>
      <c r="FL34" s="237"/>
      <c r="FM34" s="237"/>
      <c r="FN34" s="237"/>
      <c r="FO34" s="237"/>
      <c r="FP34" s="237"/>
    </row>
    <row r="35" spans="1:172" s="234" customFormat="1" ht="15.75">
      <c r="A35" s="777">
        <f>'I fjor'!A35</f>
        <v>3</v>
      </c>
      <c r="B35" s="778">
        <f>'I fjor'!B35</f>
        <v>0</v>
      </c>
      <c r="C35" s="778">
        <f>'I fjor'!C35</f>
        <v>0</v>
      </c>
      <c r="D35" s="778">
        <f>'I fjor'!D35</f>
        <v>0</v>
      </c>
      <c r="E35" s="779">
        <f>'I fjor'!E35</f>
        <v>0</v>
      </c>
      <c r="F35" s="828">
        <f>'I fjor'!F35</f>
        <v>16</v>
      </c>
      <c r="G35" s="828">
        <f>'I fjor'!G35</f>
        <v>0</v>
      </c>
      <c r="H35" s="488">
        <f>'I fjor'!H35</f>
        <v>1</v>
      </c>
      <c r="I35" s="489">
        <f>'I fjor'!I35</f>
        <v>2</v>
      </c>
      <c r="J35" s="489">
        <f>'I fjor'!J35</f>
        <v>0</v>
      </c>
      <c r="K35" s="490">
        <f t="shared" ref="K35:K39" si="3">F35-SUM(H35:J35)</f>
        <v>13</v>
      </c>
      <c r="L35" s="675">
        <f>F35*2/(A35+1E-55)</f>
        <v>10.666666666666666</v>
      </c>
      <c r="M35" s="675"/>
      <c r="N35" s="598"/>
      <c r="O35" s="865" t="s">
        <v>163</v>
      </c>
      <c r="P35" s="866"/>
      <c r="Q35" s="488">
        <f>'I fjor'!Q35</f>
        <v>2</v>
      </c>
      <c r="R35" s="489">
        <f>'I fjor'!R35</f>
        <v>2</v>
      </c>
      <c r="S35" s="489">
        <f>'I fjor'!S35</f>
        <v>0</v>
      </c>
      <c r="T35" s="491">
        <f>'I fjor'!T35</f>
        <v>14</v>
      </c>
      <c r="U35" s="492">
        <f>SUM(Q35:T35)</f>
        <v>18</v>
      </c>
      <c r="V35" s="598"/>
      <c r="W35" s="829"/>
      <c r="X35" s="830"/>
      <c r="Y35" s="830"/>
      <c r="Z35" s="830"/>
      <c r="AA35" s="831"/>
      <c r="AB35" s="295"/>
      <c r="AC35" s="296"/>
      <c r="AD35" s="296"/>
      <c r="AE35" s="237"/>
      <c r="AF35" s="260"/>
      <c r="AG35" s="260"/>
      <c r="AH35" s="260"/>
      <c r="AI35" s="260"/>
      <c r="AJ35" s="260"/>
      <c r="AK35" s="260"/>
      <c r="AL35" s="260"/>
      <c r="AM35" s="289"/>
      <c r="AN35" s="289"/>
      <c r="AO35" s="289"/>
      <c r="AP35" s="289"/>
      <c r="AQ35" s="290"/>
      <c r="AR35" s="231"/>
      <c r="AS35" s="290"/>
      <c r="AT35" s="291"/>
      <c r="AU35" s="292"/>
      <c r="AV35" s="290"/>
      <c r="AW35" s="290"/>
      <c r="AX35" s="293"/>
      <c r="AY35" s="292"/>
      <c r="BA35" s="237"/>
      <c r="BB35" s="237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37"/>
      <c r="BR35" s="272"/>
      <c r="BS35" s="292"/>
      <c r="BT35" s="272"/>
      <c r="BU35" s="272"/>
      <c r="BV35" s="292"/>
      <c r="BW35" s="292"/>
      <c r="BX35" s="292"/>
      <c r="BY35" s="292"/>
      <c r="BZ35" s="292"/>
      <c r="CA35" s="292"/>
      <c r="CB35" s="272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7"/>
      <c r="EL35" s="237"/>
      <c r="EM35" s="237"/>
      <c r="EN35" s="237"/>
      <c r="EO35" s="237"/>
      <c r="EP35" s="237"/>
      <c r="EQ35" s="237"/>
      <c r="ER35" s="237"/>
      <c r="ES35" s="237"/>
      <c r="ET35" s="237"/>
      <c r="EU35" s="237"/>
      <c r="EV35" s="237"/>
      <c r="EW35" s="237"/>
      <c r="EX35" s="237"/>
      <c r="EY35" s="237"/>
      <c r="EZ35" s="237"/>
      <c r="FA35" s="237"/>
      <c r="FB35" s="237"/>
      <c r="FC35" s="237"/>
      <c r="FD35" s="237"/>
      <c r="FE35" s="237"/>
      <c r="FF35" s="237"/>
      <c r="FG35" s="237"/>
      <c r="FH35" s="237"/>
      <c r="FI35" s="237"/>
      <c r="FJ35" s="237"/>
      <c r="FK35" s="237"/>
      <c r="FL35" s="237"/>
      <c r="FM35" s="237"/>
      <c r="FN35" s="237"/>
      <c r="FO35" s="237"/>
    </row>
    <row r="36" spans="1:172" s="234" customFormat="1" ht="15" customHeight="1">
      <c r="A36" s="777">
        <f>'I fjor'!A36</f>
        <v>2</v>
      </c>
      <c r="B36" s="778">
        <f>'I fjor'!B36</f>
        <v>0</v>
      </c>
      <c r="C36" s="778">
        <f>'I fjor'!C36</f>
        <v>0</v>
      </c>
      <c r="D36" s="778">
        <f>'I fjor'!D36</f>
        <v>0</v>
      </c>
      <c r="E36" s="779">
        <f>'I fjor'!E36</f>
        <v>0</v>
      </c>
      <c r="F36" s="828">
        <f>'I fjor'!F36</f>
        <v>3</v>
      </c>
      <c r="G36" s="828">
        <f>'I fjor'!G36</f>
        <v>0</v>
      </c>
      <c r="H36" s="488">
        <f>'I fjor'!H36</f>
        <v>2</v>
      </c>
      <c r="I36" s="489">
        <f>'I fjor'!I36</f>
        <v>0</v>
      </c>
      <c r="J36" s="489">
        <f>'I fjor'!J36</f>
        <v>0</v>
      </c>
      <c r="K36" s="490">
        <f t="shared" si="3"/>
        <v>1</v>
      </c>
      <c r="L36" s="675">
        <f t="shared" ref="L36:L38" si="4">F36*2/(A36+1E-55)</f>
        <v>3</v>
      </c>
      <c r="M36" s="675"/>
      <c r="N36" s="598"/>
      <c r="O36" s="863" t="s">
        <v>164</v>
      </c>
      <c r="P36" s="864"/>
      <c r="Q36" s="493"/>
      <c r="R36" s="494"/>
      <c r="S36" s="494"/>
      <c r="T36" s="490"/>
      <c r="U36" s="491">
        <f>'I fjor'!U36</f>
        <v>3</v>
      </c>
      <c r="V36" s="598"/>
      <c r="W36" s="855" t="str">
        <f>'I fjor'!W36:AA37</f>
        <v>Gjennomsnittlig stilllingsstørrelse</v>
      </c>
      <c r="X36" s="856"/>
      <c r="Y36" s="856"/>
      <c r="Z36" s="856"/>
      <c r="AA36" s="857"/>
      <c r="AB36" s="295"/>
      <c r="AC36" s="296"/>
      <c r="AD36" s="296"/>
      <c r="AE36" s="237"/>
      <c r="AF36" s="260"/>
      <c r="AG36" s="260"/>
      <c r="AH36" s="260"/>
      <c r="AI36" s="260"/>
      <c r="AJ36" s="260"/>
      <c r="AK36" s="260"/>
      <c r="AL36" s="260"/>
      <c r="AM36" s="289"/>
      <c r="AN36" s="289"/>
      <c r="AO36" s="289"/>
      <c r="AP36" s="289"/>
      <c r="AQ36" s="290"/>
      <c r="AR36" s="231"/>
      <c r="AS36" s="290"/>
      <c r="AT36" s="291"/>
      <c r="AU36" s="292"/>
      <c r="AV36" s="290"/>
      <c r="AW36" s="290"/>
      <c r="AX36" s="293"/>
      <c r="AY36" s="292"/>
      <c r="BA36" s="237"/>
      <c r="BB36" s="237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37"/>
      <c r="BR36" s="272"/>
      <c r="BS36" s="292"/>
      <c r="BT36" s="272"/>
      <c r="BU36" s="272"/>
      <c r="BV36" s="292"/>
      <c r="BW36" s="292"/>
      <c r="BX36" s="292"/>
      <c r="BY36" s="292"/>
      <c r="BZ36" s="292"/>
      <c r="CA36" s="292"/>
      <c r="CB36" s="272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7"/>
      <c r="EL36" s="237"/>
      <c r="EM36" s="237"/>
      <c r="EN36" s="237"/>
      <c r="EO36" s="237"/>
      <c r="EP36" s="237"/>
      <c r="EQ36" s="237"/>
      <c r="ER36" s="237"/>
      <c r="ES36" s="237"/>
      <c r="ET36" s="237"/>
      <c r="EU36" s="237"/>
      <c r="EV36" s="237"/>
      <c r="EW36" s="237"/>
      <c r="EX36" s="237"/>
      <c r="EY36" s="237"/>
      <c r="EZ36" s="237"/>
      <c r="FA36" s="237"/>
      <c r="FB36" s="237"/>
      <c r="FC36" s="237"/>
      <c r="FD36" s="237"/>
      <c r="FE36" s="237"/>
      <c r="FF36" s="237"/>
      <c r="FG36" s="237"/>
      <c r="FH36" s="237"/>
      <c r="FI36" s="237"/>
      <c r="FJ36" s="237"/>
      <c r="FK36" s="237"/>
      <c r="FL36" s="237"/>
      <c r="FM36" s="237"/>
      <c r="FN36" s="237"/>
      <c r="FO36" s="237"/>
    </row>
    <row r="37" spans="1:172" s="234" customFormat="1" ht="15.75">
      <c r="A37" s="777">
        <f>'I fjor'!A37</f>
        <v>6</v>
      </c>
      <c r="B37" s="778">
        <f>'I fjor'!B37</f>
        <v>0</v>
      </c>
      <c r="C37" s="778">
        <f>'I fjor'!C37</f>
        <v>0</v>
      </c>
      <c r="D37" s="778">
        <f>'I fjor'!D37</f>
        <v>0</v>
      </c>
      <c r="E37" s="779">
        <f>'I fjor'!E37</f>
        <v>0</v>
      </c>
      <c r="F37" s="828">
        <f>'I fjor'!F37</f>
        <v>1</v>
      </c>
      <c r="G37" s="828">
        <f>'I fjor'!G37</f>
        <v>0</v>
      </c>
      <c r="H37" s="488">
        <f>'I fjor'!H37</f>
        <v>1</v>
      </c>
      <c r="I37" s="489">
        <f>'I fjor'!I37</f>
        <v>0</v>
      </c>
      <c r="J37" s="489">
        <f>'I fjor'!J37</f>
        <v>0</v>
      </c>
      <c r="K37" s="490">
        <f t="shared" si="3"/>
        <v>0</v>
      </c>
      <c r="L37" s="675">
        <f t="shared" si="4"/>
        <v>0.33333333333333331</v>
      </c>
      <c r="M37" s="675"/>
      <c r="N37" s="598"/>
      <c r="O37" s="861" t="s">
        <v>46</v>
      </c>
      <c r="P37" s="862"/>
      <c r="Q37" s="495">
        <f>SUM(Q35:Q36)</f>
        <v>2</v>
      </c>
      <c r="R37" s="496">
        <f t="shared" ref="R37:U37" si="5">SUM(R35:R36)</f>
        <v>2</v>
      </c>
      <c r="S37" s="496">
        <f t="shared" si="5"/>
        <v>0</v>
      </c>
      <c r="T37" s="497">
        <f t="shared" si="5"/>
        <v>14</v>
      </c>
      <c r="U37" s="498">
        <f t="shared" si="5"/>
        <v>21</v>
      </c>
      <c r="V37" s="598"/>
      <c r="W37" s="858"/>
      <c r="X37" s="859"/>
      <c r="Y37" s="859"/>
      <c r="Z37" s="859"/>
      <c r="AA37" s="860"/>
      <c r="AB37" s="295"/>
      <c r="AC37" s="296"/>
      <c r="AD37" s="296"/>
      <c r="AE37" s="237"/>
      <c r="AF37" s="260"/>
      <c r="AG37" s="260"/>
      <c r="AH37" s="260"/>
      <c r="AI37" s="260"/>
      <c r="AJ37" s="260"/>
      <c r="AK37" s="260"/>
      <c r="AL37" s="260"/>
      <c r="AM37" s="289"/>
      <c r="AN37" s="289"/>
      <c r="AO37" s="289"/>
      <c r="AP37" s="289"/>
      <c r="AQ37" s="290"/>
      <c r="AR37" s="231"/>
      <c r="AS37" s="290"/>
      <c r="AT37" s="291"/>
      <c r="AU37" s="292"/>
      <c r="AV37" s="290"/>
      <c r="AW37" s="290"/>
      <c r="AX37" s="293"/>
      <c r="AY37" s="292"/>
      <c r="BA37" s="237"/>
      <c r="BB37" s="237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37"/>
      <c r="BR37" s="272"/>
      <c r="BS37" s="292"/>
      <c r="BT37" s="272"/>
      <c r="BU37" s="272"/>
      <c r="BV37" s="292"/>
      <c r="BW37" s="292"/>
      <c r="BX37" s="292"/>
      <c r="BY37" s="292"/>
      <c r="BZ37" s="292"/>
      <c r="CA37" s="292"/>
      <c r="CB37" s="272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7"/>
      <c r="EL37" s="237"/>
      <c r="EM37" s="237"/>
      <c r="EN37" s="237"/>
      <c r="EO37" s="237"/>
      <c r="EP37" s="237"/>
      <c r="EQ37" s="237"/>
      <c r="ER37" s="237"/>
      <c r="ES37" s="237"/>
      <c r="ET37" s="237"/>
      <c r="EU37" s="237"/>
      <c r="EV37" s="237"/>
      <c r="EW37" s="237"/>
      <c r="EX37" s="237"/>
      <c r="EY37" s="237"/>
      <c r="EZ37" s="237"/>
      <c r="FA37" s="237"/>
      <c r="FB37" s="237"/>
      <c r="FC37" s="237"/>
      <c r="FD37" s="237"/>
      <c r="FE37" s="237"/>
      <c r="FF37" s="237"/>
      <c r="FG37" s="237"/>
      <c r="FH37" s="237"/>
      <c r="FI37" s="237"/>
      <c r="FJ37" s="237"/>
      <c r="FK37" s="237"/>
      <c r="FL37" s="237"/>
      <c r="FM37" s="237"/>
      <c r="FN37" s="237"/>
      <c r="FO37" s="237"/>
    </row>
    <row r="38" spans="1:172" s="234" customFormat="1" ht="15.75">
      <c r="A38" s="777">
        <f>'I fjor'!A38</f>
        <v>4</v>
      </c>
      <c r="B38" s="778">
        <f>'I fjor'!B38</f>
        <v>0</v>
      </c>
      <c r="C38" s="778">
        <f>'I fjor'!C38</f>
        <v>0</v>
      </c>
      <c r="D38" s="778">
        <f>'I fjor'!D38</f>
        <v>0</v>
      </c>
      <c r="E38" s="779">
        <f>'I fjor'!E38</f>
        <v>0</v>
      </c>
      <c r="F38" s="828">
        <f>'I fjor'!F38</f>
        <v>0</v>
      </c>
      <c r="G38" s="828">
        <f>'I fjor'!G38</f>
        <v>0</v>
      </c>
      <c r="H38" s="488">
        <f>'I fjor'!H38</f>
        <v>0</v>
      </c>
      <c r="I38" s="489">
        <f>'I fjor'!I38</f>
        <v>0</v>
      </c>
      <c r="J38" s="489">
        <f>'I fjor'!J38</f>
        <v>0</v>
      </c>
      <c r="K38" s="490">
        <f t="shared" si="3"/>
        <v>0</v>
      </c>
      <c r="L38" s="675">
        <f t="shared" si="4"/>
        <v>0</v>
      </c>
      <c r="M38" s="675"/>
      <c r="N38" s="598"/>
      <c r="O38" s="830" t="s">
        <v>165</v>
      </c>
      <c r="P38" s="830"/>
      <c r="Q38" s="830"/>
      <c r="R38" s="830"/>
      <c r="S38" s="830"/>
      <c r="T38" s="830"/>
      <c r="U38" s="831"/>
      <c r="V38" s="598"/>
      <c r="W38" s="730">
        <f>(X25-AA41)/F40</f>
        <v>0.74999999999999989</v>
      </c>
      <c r="X38" s="731"/>
      <c r="Y38" s="731"/>
      <c r="Z38" s="731"/>
      <c r="AA38" s="732"/>
      <c r="AB38" s="295"/>
      <c r="AC38" s="296"/>
      <c r="AD38" s="296"/>
      <c r="AE38" s="237"/>
      <c r="AF38" s="260"/>
      <c r="AG38" s="260"/>
      <c r="AH38" s="260"/>
      <c r="AI38" s="260"/>
      <c r="AJ38" s="260"/>
      <c r="AK38" s="260"/>
      <c r="AL38" s="260"/>
      <c r="AM38" s="289"/>
      <c r="AN38" s="289"/>
      <c r="AO38" s="289"/>
      <c r="AP38" s="289"/>
      <c r="AQ38" s="290"/>
      <c r="AR38" s="231"/>
      <c r="AS38" s="290"/>
      <c r="AT38" s="291"/>
      <c r="AU38" s="292"/>
      <c r="AV38" s="290"/>
      <c r="AW38" s="290"/>
      <c r="AX38" s="293"/>
      <c r="AY38" s="292"/>
      <c r="BA38" s="237"/>
      <c r="BB38" s="237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37"/>
      <c r="BR38" s="272"/>
      <c r="BS38" s="292"/>
      <c r="BT38" s="272"/>
      <c r="BU38" s="272"/>
      <c r="BV38" s="292"/>
      <c r="BW38" s="292"/>
      <c r="BX38" s="292"/>
      <c r="BY38" s="292"/>
      <c r="BZ38" s="292"/>
      <c r="CA38" s="292"/>
      <c r="CB38" s="272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7"/>
      <c r="EL38" s="237"/>
      <c r="EM38" s="237"/>
      <c r="EN38" s="237"/>
      <c r="EO38" s="237"/>
      <c r="EP38" s="237"/>
      <c r="EQ38" s="237"/>
      <c r="ER38" s="237"/>
      <c r="ES38" s="237"/>
      <c r="ET38" s="237"/>
      <c r="EU38" s="237"/>
      <c r="EV38" s="237"/>
      <c r="EW38" s="237"/>
      <c r="EX38" s="237"/>
      <c r="EY38" s="237"/>
      <c r="EZ38" s="237"/>
      <c r="FA38" s="237"/>
      <c r="FB38" s="237"/>
      <c r="FC38" s="237"/>
      <c r="FD38" s="237"/>
      <c r="FE38" s="237"/>
      <c r="FF38" s="237"/>
      <c r="FG38" s="237"/>
      <c r="FH38" s="237"/>
      <c r="FI38" s="237"/>
      <c r="FJ38" s="237"/>
      <c r="FK38" s="237"/>
      <c r="FL38" s="237"/>
      <c r="FM38" s="237"/>
      <c r="FN38" s="237"/>
      <c r="FO38" s="237"/>
    </row>
    <row r="39" spans="1:172" s="234" customFormat="1" ht="15.75">
      <c r="A39" s="837" t="str">
        <f>'I fjor'!A39:E39</f>
        <v>Fast ansatte utover bemanningsplan</v>
      </c>
      <c r="B39" s="838"/>
      <c r="C39" s="838"/>
      <c r="D39" s="838"/>
      <c r="E39" s="839"/>
      <c r="F39" s="828">
        <f>'I fjor'!F39</f>
        <v>0</v>
      </c>
      <c r="G39" s="828">
        <f>'I fjor'!G39</f>
        <v>0</v>
      </c>
      <c r="H39" s="488">
        <f>'I fjor'!H39</f>
        <v>0</v>
      </c>
      <c r="I39" s="489">
        <f>'I fjor'!I39</f>
        <v>0</v>
      </c>
      <c r="J39" s="489">
        <f>'I fjor'!J39</f>
        <v>0</v>
      </c>
      <c r="K39" s="490">
        <f t="shared" si="3"/>
        <v>0</v>
      </c>
      <c r="L39" s="499"/>
      <c r="M39" s="499"/>
      <c r="N39" s="598"/>
      <c r="O39" s="500"/>
      <c r="P39" s="500"/>
      <c r="Q39" s="500"/>
      <c r="R39" s="500"/>
      <c r="S39" s="500"/>
      <c r="T39" s="500"/>
      <c r="U39" s="501"/>
      <c r="V39" s="600"/>
      <c r="W39" s="502"/>
      <c r="X39" s="502"/>
      <c r="Y39" s="502"/>
      <c r="Z39" s="502"/>
      <c r="AA39" s="502"/>
      <c r="AB39" s="295"/>
      <c r="AC39" s="296"/>
      <c r="AD39" s="296"/>
      <c r="AE39" s="237"/>
      <c r="AF39" s="260"/>
      <c r="AG39" s="260"/>
      <c r="AH39" s="260"/>
      <c r="AI39" s="260"/>
      <c r="AJ39" s="260"/>
      <c r="AK39" s="260"/>
      <c r="AL39" s="260"/>
      <c r="AM39" s="289"/>
      <c r="AN39" s="289"/>
      <c r="AO39" s="289"/>
      <c r="AP39" s="289"/>
      <c r="AQ39" s="290"/>
      <c r="AR39" s="231"/>
      <c r="AS39" s="290"/>
      <c r="AT39" s="291"/>
      <c r="AU39" s="292"/>
      <c r="AV39" s="290"/>
      <c r="AW39" s="290"/>
      <c r="AX39" s="293"/>
      <c r="AY39" s="292"/>
      <c r="BA39" s="237"/>
      <c r="BB39" s="237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37"/>
      <c r="BR39" s="272"/>
      <c r="BS39" s="292"/>
      <c r="BT39" s="272"/>
      <c r="BU39" s="272"/>
      <c r="BV39" s="292"/>
      <c r="BW39" s="292"/>
      <c r="BX39" s="292"/>
      <c r="BY39" s="292"/>
      <c r="BZ39" s="292"/>
      <c r="CA39" s="292"/>
      <c r="CB39" s="272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7"/>
      <c r="EL39" s="237"/>
      <c r="EM39" s="237"/>
      <c r="EN39" s="237"/>
      <c r="EO39" s="237"/>
      <c r="EP39" s="237"/>
      <c r="EQ39" s="237"/>
      <c r="ER39" s="237"/>
      <c r="ES39" s="237"/>
      <c r="ET39" s="237"/>
      <c r="EU39" s="237"/>
      <c r="EV39" s="237"/>
      <c r="EW39" s="237"/>
      <c r="EX39" s="237"/>
      <c r="EY39" s="237"/>
      <c r="EZ39" s="237"/>
      <c r="FA39" s="237"/>
      <c r="FB39" s="237"/>
      <c r="FC39" s="237"/>
      <c r="FD39" s="237"/>
      <c r="FE39" s="237"/>
      <c r="FF39" s="237"/>
      <c r="FG39" s="237"/>
      <c r="FH39" s="237"/>
      <c r="FI39" s="237"/>
      <c r="FJ39" s="237"/>
      <c r="FK39" s="237"/>
      <c r="FL39" s="237"/>
      <c r="FM39" s="237"/>
      <c r="FN39" s="237"/>
      <c r="FO39" s="237"/>
    </row>
    <row r="40" spans="1:172" s="234" customFormat="1" ht="15" customHeight="1">
      <c r="A40" s="829" t="s">
        <v>186</v>
      </c>
      <c r="B40" s="830"/>
      <c r="C40" s="830"/>
      <c r="D40" s="830"/>
      <c r="E40" s="831"/>
      <c r="F40" s="840">
        <f>SUM(F35:G39)</f>
        <v>20</v>
      </c>
      <c r="G40" s="841"/>
      <c r="H40" s="503">
        <f>SUM(H35:H39)</f>
        <v>4</v>
      </c>
      <c r="I40" s="504">
        <f t="shared" ref="I40:K40" si="6">SUM(I35:I39)</f>
        <v>2</v>
      </c>
      <c r="J40" s="504">
        <f t="shared" si="6"/>
        <v>0</v>
      </c>
      <c r="K40" s="505">
        <f t="shared" si="6"/>
        <v>14</v>
      </c>
      <c r="L40" s="506"/>
      <c r="M40" s="507">
        <f>SUM(L35:M38)</f>
        <v>14</v>
      </c>
      <c r="N40" s="598"/>
      <c r="O40" s="508" t="str">
        <f>O35</f>
        <v>Ansatte</v>
      </c>
      <c r="P40" s="509"/>
      <c r="Q40" s="510">
        <f>Q35/(H40+1E-24)</f>
        <v>0.5</v>
      </c>
      <c r="R40" s="510">
        <f t="shared" ref="R40:T40" si="7">R35/(I40+1E-24)</f>
        <v>1</v>
      </c>
      <c r="S40" s="510">
        <f t="shared" si="7"/>
        <v>0</v>
      </c>
      <c r="T40" s="510">
        <f t="shared" si="7"/>
        <v>1</v>
      </c>
      <c r="U40" s="511">
        <f>U35/(F40+1E-24)</f>
        <v>0.9</v>
      </c>
      <c r="V40" s="600"/>
      <c r="W40" s="295"/>
      <c r="X40" s="295"/>
      <c r="Y40" s="295"/>
      <c r="Z40" s="295"/>
      <c r="AA40" s="295"/>
      <c r="AB40" s="295"/>
      <c r="AC40" s="296"/>
      <c r="AD40" s="296"/>
      <c r="AE40" s="237"/>
      <c r="AF40" s="260"/>
      <c r="AG40" s="260"/>
      <c r="AH40" s="260"/>
      <c r="AI40" s="260"/>
      <c r="AJ40" s="260"/>
      <c r="AK40" s="260"/>
      <c r="AL40" s="260"/>
      <c r="AM40" s="289"/>
      <c r="AN40" s="289"/>
      <c r="AO40" s="289"/>
      <c r="AP40" s="289"/>
      <c r="AQ40" s="290"/>
      <c r="AR40" s="231"/>
      <c r="AS40" s="290"/>
      <c r="AT40" s="291"/>
      <c r="AU40" s="292"/>
      <c r="AV40" s="290"/>
      <c r="AW40" s="290"/>
      <c r="AX40" s="293"/>
      <c r="AY40" s="292"/>
      <c r="BA40" s="237"/>
      <c r="BB40" s="237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37"/>
      <c r="BR40" s="272"/>
      <c r="BS40" s="292"/>
      <c r="BT40" s="272"/>
      <c r="BU40" s="272"/>
      <c r="BV40" s="292"/>
      <c r="BW40" s="292"/>
      <c r="BX40" s="292"/>
      <c r="BY40" s="292"/>
      <c r="BZ40" s="292"/>
      <c r="CA40" s="292"/>
      <c r="CB40" s="272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7"/>
      <c r="EL40" s="237"/>
      <c r="EM40" s="237"/>
      <c r="EN40" s="237"/>
      <c r="EO40" s="237"/>
      <c r="EP40" s="237"/>
      <c r="EQ40" s="237"/>
      <c r="ER40" s="237"/>
      <c r="ES40" s="237"/>
      <c r="ET40" s="237"/>
      <c r="EU40" s="237"/>
      <c r="EV40" s="237"/>
      <c r="EW40" s="237"/>
      <c r="EX40" s="237"/>
      <c r="EY40" s="237"/>
      <c r="EZ40" s="237"/>
      <c r="FA40" s="237"/>
      <c r="FB40" s="237"/>
      <c r="FC40" s="237"/>
      <c r="FD40" s="237"/>
      <c r="FE40" s="237"/>
      <c r="FF40" s="237"/>
      <c r="FG40" s="237"/>
      <c r="FH40" s="237"/>
      <c r="FI40" s="237"/>
      <c r="FJ40" s="237"/>
      <c r="FK40" s="237"/>
      <c r="FL40" s="237"/>
      <c r="FM40" s="237"/>
      <c r="FN40" s="237"/>
      <c r="FO40" s="237"/>
    </row>
    <row r="41" spans="1:172" s="234" customFormat="1" ht="15" customHeight="1">
      <c r="A41" s="842" t="str">
        <f>'I fjor'!A41:E41</f>
        <v>Hull i turnus/ ikke besatte stillinger (oppgi antall årsverk)</v>
      </c>
      <c r="B41" s="843"/>
      <c r="C41" s="843"/>
      <c r="D41" s="843"/>
      <c r="E41" s="844"/>
      <c r="F41" s="237"/>
      <c r="H41" s="512"/>
      <c r="I41" s="513"/>
      <c r="J41" s="513"/>
      <c r="K41" s="514"/>
      <c r="L41" s="845">
        <f>-SUM(L35:L38)+L42</f>
        <v>4</v>
      </c>
      <c r="M41" s="845"/>
      <c r="N41" s="598"/>
      <c r="O41" s="295" t="str">
        <f>O36</f>
        <v>Vikarer etc</v>
      </c>
      <c r="P41" s="515"/>
      <c r="Q41" s="516"/>
      <c r="R41" s="516"/>
      <c r="S41" s="516"/>
      <c r="T41" s="516"/>
      <c r="U41" s="511">
        <f>U36/(F43+1E-27)</f>
        <v>0.33333333333333331</v>
      </c>
      <c r="V41" s="600"/>
      <c r="W41" s="618" t="str">
        <f>'I fjor'!W41</f>
        <v>Antall årsverk ikke besatte stillinger/ hull i turnus</v>
      </c>
      <c r="X41" s="482"/>
      <c r="Y41" s="482"/>
      <c r="Z41" s="482"/>
      <c r="AA41" s="619">
        <f>'I fjor'!AA41</f>
        <v>0.72</v>
      </c>
      <c r="AB41" s="295"/>
      <c r="AC41" s="296"/>
      <c r="AD41" s="296"/>
      <c r="AE41" s="237"/>
      <c r="AF41" s="260"/>
      <c r="AG41" s="260"/>
      <c r="AH41" s="260"/>
      <c r="AI41" s="260"/>
      <c r="AJ41" s="260"/>
      <c r="AK41" s="260"/>
      <c r="AL41" s="260"/>
      <c r="AM41" s="289"/>
      <c r="AN41" s="289"/>
      <c r="AO41" s="289"/>
      <c r="AP41" s="289"/>
      <c r="AQ41" s="290"/>
      <c r="AR41" s="231"/>
      <c r="AS41" s="290"/>
      <c r="AT41" s="291"/>
      <c r="AU41" s="292"/>
      <c r="AV41" s="290"/>
      <c r="AW41" s="290"/>
      <c r="AX41" s="293"/>
      <c r="AY41" s="292"/>
      <c r="BA41" s="237"/>
      <c r="BB41" s="237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37"/>
      <c r="BR41" s="272"/>
      <c r="BS41" s="292"/>
      <c r="BT41" s="272"/>
      <c r="BU41" s="272"/>
      <c r="BV41" s="292"/>
      <c r="BW41" s="292"/>
      <c r="BX41" s="292"/>
      <c r="BY41" s="292"/>
      <c r="BZ41" s="292"/>
      <c r="CA41" s="292"/>
      <c r="CB41" s="272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7"/>
      <c r="EL41" s="237"/>
      <c r="EM41" s="237"/>
      <c r="EN41" s="237"/>
      <c r="EO41" s="237"/>
      <c r="EP41" s="237"/>
      <c r="EQ41" s="237"/>
      <c r="ER41" s="237"/>
      <c r="ES41" s="237"/>
      <c r="ET41" s="237"/>
      <c r="EU41" s="237"/>
      <c r="EV41" s="237"/>
      <c r="EW41" s="237"/>
      <c r="EX41" s="237"/>
      <c r="EY41" s="237"/>
      <c r="EZ41" s="237"/>
      <c r="FA41" s="237"/>
      <c r="FB41" s="237"/>
      <c r="FC41" s="237"/>
      <c r="FD41" s="237"/>
      <c r="FE41" s="237"/>
      <c r="FF41" s="237"/>
      <c r="FG41" s="237"/>
      <c r="FH41" s="237"/>
      <c r="FI41" s="237"/>
      <c r="FJ41" s="237"/>
      <c r="FK41" s="237"/>
      <c r="FL41" s="237"/>
      <c r="FM41" s="237"/>
      <c r="FN41" s="237"/>
      <c r="FO41" s="237"/>
    </row>
    <row r="42" spans="1:172" s="234" customFormat="1" ht="15.75">
      <c r="A42" s="823" t="s">
        <v>155</v>
      </c>
      <c r="B42" s="824"/>
      <c r="C42" s="824"/>
      <c r="D42" s="824"/>
      <c r="E42" s="824"/>
      <c r="F42" s="824"/>
      <c r="G42" s="824"/>
      <c r="H42" s="824"/>
      <c r="I42" s="824"/>
      <c r="J42" s="824"/>
      <c r="K42" s="825"/>
      <c r="L42" s="832">
        <f>SUM(F25:I25)*2</f>
        <v>18</v>
      </c>
      <c r="M42" s="833"/>
      <c r="N42" s="598"/>
      <c r="O42" s="482" t="str">
        <f>O37</f>
        <v>Totalt</v>
      </c>
      <c r="P42" s="483"/>
      <c r="Q42" s="517"/>
      <c r="R42" s="517"/>
      <c r="S42" s="517"/>
      <c r="T42" s="517"/>
      <c r="U42" s="518">
        <f>U37/(SUM(H44:K44)+1E-27)</f>
        <v>0.72413793103448276</v>
      </c>
      <c r="V42" s="600"/>
      <c r="W42" s="295"/>
      <c r="X42" s="295"/>
      <c r="Y42" s="295"/>
      <c r="Z42" s="295"/>
      <c r="AA42" s="295"/>
      <c r="AB42" s="296"/>
      <c r="AC42" s="237"/>
      <c r="AD42" s="260"/>
      <c r="AE42" s="260"/>
      <c r="AF42" s="260"/>
      <c r="AG42" s="260"/>
      <c r="AH42" s="260"/>
      <c r="AI42" s="260"/>
      <c r="AJ42" s="260"/>
      <c r="AK42" s="289"/>
      <c r="AL42" s="289"/>
      <c r="AM42" s="289"/>
      <c r="AN42" s="289"/>
      <c r="AO42" s="290"/>
      <c r="AP42" s="231"/>
      <c r="AQ42" s="290"/>
      <c r="AR42" s="291"/>
      <c r="AS42" s="292"/>
      <c r="AT42" s="290"/>
      <c r="AU42" s="290"/>
      <c r="AV42" s="293"/>
      <c r="AW42" s="292"/>
      <c r="AY42" s="237"/>
      <c r="AZ42" s="237"/>
      <c r="BA42" s="290"/>
      <c r="BB42" s="290"/>
      <c r="BC42" s="290"/>
      <c r="BD42" s="290"/>
      <c r="BE42" s="290"/>
      <c r="BF42" s="290"/>
      <c r="BG42" s="290"/>
      <c r="BH42" s="290"/>
      <c r="BI42" s="290"/>
      <c r="BJ42" s="290"/>
      <c r="BK42" s="290"/>
      <c r="BL42" s="290"/>
      <c r="BM42" s="290"/>
      <c r="BN42" s="290"/>
      <c r="BO42" s="237"/>
      <c r="BP42" s="272"/>
      <c r="BQ42" s="292"/>
      <c r="BR42" s="272"/>
      <c r="BS42" s="272"/>
      <c r="BT42" s="292"/>
      <c r="BU42" s="292"/>
      <c r="BV42" s="292"/>
      <c r="BW42" s="292"/>
      <c r="BX42" s="292"/>
      <c r="BY42" s="292"/>
      <c r="BZ42" s="272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237"/>
      <c r="FL42" s="237"/>
      <c r="FM42" s="237"/>
    </row>
    <row r="43" spans="1:172">
      <c r="A43" s="834" t="s">
        <v>160</v>
      </c>
      <c r="B43" s="835"/>
      <c r="C43" s="835"/>
      <c r="D43" s="835"/>
      <c r="E43" s="836"/>
      <c r="F43" s="828">
        <f>'I fjor'!F43</f>
        <v>9</v>
      </c>
      <c r="G43" s="828">
        <f>'I fjor'!G43</f>
        <v>0</v>
      </c>
      <c r="H43" s="488">
        <f>'I fjor'!H43</f>
        <v>4</v>
      </c>
      <c r="I43" s="489"/>
      <c r="J43" s="489"/>
      <c r="K43" s="490">
        <f t="shared" ref="K43" si="8">F43-SUM(H43:J43)</f>
        <v>5</v>
      </c>
      <c r="L43" s="499"/>
      <c r="M43" s="499"/>
      <c r="N43" s="599"/>
      <c r="V43" s="599"/>
      <c r="W43" s="295"/>
      <c r="X43" s="295"/>
      <c r="Y43" s="295"/>
      <c r="Z43" s="295"/>
      <c r="AA43" s="295"/>
    </row>
    <row r="44" spans="1:172">
      <c r="A44" s="823" t="s">
        <v>161</v>
      </c>
      <c r="B44" s="824"/>
      <c r="C44" s="824"/>
      <c r="D44" s="824"/>
      <c r="E44" s="825"/>
      <c r="F44" s="826">
        <f>F40+F43</f>
        <v>29</v>
      </c>
      <c r="G44" s="827"/>
      <c r="H44" s="503">
        <f>H40+H43</f>
        <v>8</v>
      </c>
      <c r="I44" s="504">
        <f t="shared" ref="I44:K44" si="9">I40+I43</f>
        <v>2</v>
      </c>
      <c r="J44" s="504">
        <f t="shared" si="9"/>
        <v>0</v>
      </c>
      <c r="K44" s="505">
        <f t="shared" si="9"/>
        <v>19</v>
      </c>
    </row>
    <row r="45" spans="1:172">
      <c r="A45" s="780" t="str">
        <f>'I fjor'!A31:AA31</f>
        <v>Ansatte og vikarer. Hvor mange hadde ulik stillingsprosent, går i ulike type turnus. I hvilken grad fyller de kvalifikasjonskravene?</v>
      </c>
      <c r="B45" s="781"/>
      <c r="C45" s="781"/>
      <c r="D45" s="781"/>
      <c r="E45" s="781"/>
      <c r="F45" s="781"/>
      <c r="G45" s="781"/>
      <c r="H45" s="781"/>
      <c r="I45" s="781"/>
      <c r="J45" s="781"/>
      <c r="K45" s="781"/>
      <c r="L45" s="781"/>
      <c r="M45" s="781"/>
      <c r="N45" s="781"/>
      <c r="O45" s="781"/>
      <c r="P45" s="781"/>
      <c r="Q45" s="781"/>
      <c r="R45" s="781"/>
      <c r="S45" s="781"/>
      <c r="T45" s="781"/>
      <c r="U45" s="781"/>
      <c r="V45" s="781"/>
      <c r="W45" s="781"/>
      <c r="X45" s="781"/>
      <c r="Y45" s="781"/>
      <c r="Z45" s="781"/>
      <c r="AA45" s="782"/>
    </row>
    <row r="46" spans="1:172" ht="27.75" customHeight="1">
      <c r="A46" s="783"/>
      <c r="B46" s="784"/>
      <c r="C46" s="784"/>
      <c r="D46" s="784"/>
      <c r="E46" s="785"/>
      <c r="F46" s="792" t="str">
        <f>'I fjor'!F46:J46</f>
        <v>Forutsetninger brukt i beregningene (kommer fra data ovenfor i arket)</v>
      </c>
      <c r="G46" s="793"/>
      <c r="H46" s="793"/>
      <c r="I46" s="793"/>
      <c r="J46" s="794"/>
      <c r="K46" s="792" t="str">
        <f>'I fjor'!K46:O46</f>
        <v>Anslag tidsforbruk</v>
      </c>
      <c r="L46" s="793"/>
      <c r="M46" s="793"/>
      <c r="N46" s="793"/>
      <c r="O46" s="793"/>
      <c r="P46" s="795"/>
      <c r="Q46" s="792" t="str">
        <f>'I fjor'!Q46:U46</f>
        <v>Beregnet bruk av ressurser pr år</v>
      </c>
      <c r="R46" s="793"/>
      <c r="S46" s="793"/>
      <c r="T46" s="793"/>
      <c r="U46" s="794"/>
    </row>
    <row r="47" spans="1:172" ht="41.25" customHeight="1">
      <c r="A47" s="786"/>
      <c r="B47" s="787"/>
      <c r="C47" s="787"/>
      <c r="D47" s="787"/>
      <c r="E47" s="788"/>
      <c r="F47" s="798" t="str">
        <f>'I fjor'!F47:H47</f>
        <v>Antall vakter det må leies inn til pr. år</v>
      </c>
      <c r="G47" s="799"/>
      <c r="H47" s="800"/>
      <c r="I47" s="815" t="str">
        <f>'I fjor'!I47:I48</f>
        <v>Antall ansatte</v>
      </c>
      <c r="J47" s="801" t="str">
        <f>'I fjor'!J47:J48</f>
        <v>Antall nytil-settinger</v>
      </c>
      <c r="K47" s="798" t="str">
        <f>'I fjor'!K47:L47</f>
        <v>Anslått tidsforbruk pr. vakt</v>
      </c>
      <c r="L47" s="799"/>
      <c r="M47" s="817" t="str">
        <f>'I fjor'!M47:N48</f>
        <v xml:space="preserve">Gjennomsnittlig antall timer pr. uke avsatt i turnusplan </v>
      </c>
      <c r="N47" s="818"/>
      <c r="O47" s="821" t="str">
        <f>'I fjor'!O47:O48</f>
        <v>Anslått timer pr år brukt til tilsetting</v>
      </c>
      <c r="P47" s="796"/>
      <c r="Q47" s="801" t="str">
        <f>'I fjor'!Q47:Q48</f>
        <v>Timer</v>
      </c>
      <c r="R47" s="798" t="str">
        <f>'I fjor'!R47:S47</f>
        <v>For de som utfører arbeidet</v>
      </c>
      <c r="S47" s="800"/>
      <c r="T47" s="815" t="str">
        <f>'I fjor'!T47:T48</f>
        <v>Bereg-net time-lønn</v>
      </c>
      <c r="U47" s="801" t="str">
        <f>'I fjor'!U47:U48</f>
        <v>Lønnsutgifter inkl arb avgift og pensjon</v>
      </c>
      <c r="W47" s="801" t="str">
        <f>'I fjor'!W47:W48</f>
        <v>Timer pr år</v>
      </c>
    </row>
    <row r="48" spans="1:172" ht="38.25" customHeight="1">
      <c r="A48" s="789"/>
      <c r="B48" s="790"/>
      <c r="C48" s="790"/>
      <c r="D48" s="790"/>
      <c r="E48" s="791"/>
      <c r="F48" s="519" t="str">
        <f>'I fjor'!F48</f>
        <v>Korttids-fravær</v>
      </c>
      <c r="G48" s="520" t="str">
        <f>'I fjor'!G48</f>
        <v>Annen innleie</v>
      </c>
      <c r="H48" s="521" t="str">
        <f>'I fjor'!H48</f>
        <v>Totalt</v>
      </c>
      <c r="I48" s="816"/>
      <c r="J48" s="802"/>
      <c r="K48" s="464" t="str">
        <f>F48</f>
        <v>Korttids-fravær</v>
      </c>
      <c r="L48" s="464" t="str">
        <f>G48</f>
        <v>Annen innleie</v>
      </c>
      <c r="M48" s="819"/>
      <c r="N48" s="820"/>
      <c r="O48" s="822"/>
      <c r="P48" s="796"/>
      <c r="Q48" s="802"/>
      <c r="R48" s="522" t="str">
        <f>'I fjor'!R48</f>
        <v>Gjennom-snittlig grunnlønn</v>
      </c>
      <c r="S48" s="522" t="str">
        <f>Z21</f>
        <v>Arbeidstid pr uke</v>
      </c>
      <c r="T48" s="816"/>
      <c r="U48" s="802"/>
      <c r="W48" s="802"/>
    </row>
    <row r="49" spans="1:23" ht="22.5" customHeight="1">
      <c r="A49" s="803" t="str">
        <f>'I fjor'!A49:E49</f>
        <v>Fylle bemanningsplan (ringe, sende SMS etc)</v>
      </c>
      <c r="B49" s="804"/>
      <c r="C49" s="804"/>
      <c r="D49" s="804"/>
      <c r="E49" s="805"/>
      <c r="F49" s="295">
        <f>P30*AE29*AE30/7.5*Q30</f>
        <v>131.4938176</v>
      </c>
      <c r="G49" s="289">
        <f>H49-F49</f>
        <v>806.00618239999994</v>
      </c>
      <c r="H49" s="523">
        <f>W$29</f>
        <v>937.5</v>
      </c>
      <c r="I49" s="806"/>
      <c r="J49" s="807"/>
      <c r="K49" s="524">
        <f>'I fjor'!K49</f>
        <v>1</v>
      </c>
      <c r="L49" s="525">
        <f>'I fjor'!L49</f>
        <v>1</v>
      </c>
      <c r="M49" s="526"/>
      <c r="N49" s="526"/>
      <c r="P49" s="796"/>
      <c r="Q49" s="289">
        <f>SUMPRODUCT($F$49:$G$49,K49:L49)</f>
        <v>937.5</v>
      </c>
      <c r="R49" s="527">
        <f>'I fjor'!R49</f>
        <v>420</v>
      </c>
      <c r="S49" s="528">
        <f>'I fjor'!S49</f>
        <v>37.5</v>
      </c>
      <c r="T49" s="263">
        <f>R49*(1+$M$16)*(1+$M$15)/W49*1000</f>
        <v>328.53008695652181</v>
      </c>
      <c r="U49" s="523">
        <f>Q49*T49/1000</f>
        <v>307.99695652173921</v>
      </c>
      <c r="W49" s="593">
        <f>S49*46</f>
        <v>1725</v>
      </c>
    </row>
    <row r="50" spans="1:23">
      <c r="A50" s="808" t="str">
        <f>'I fjor'!A50:H50</f>
        <v>Tidsbruk ansatte har avsatt i turnusplanen til turnusoppsett etc</v>
      </c>
      <c r="B50" s="809"/>
      <c r="C50" s="809"/>
      <c r="D50" s="809"/>
      <c r="E50" s="809"/>
      <c r="F50" s="809"/>
      <c r="G50" s="809"/>
      <c r="H50" s="810"/>
      <c r="I50" s="530">
        <f>F40</f>
        <v>20</v>
      </c>
      <c r="J50" s="772"/>
      <c r="K50" s="773"/>
      <c r="L50" s="774"/>
      <c r="M50" s="811">
        <f>'I fjor'!M50</f>
        <v>0</v>
      </c>
      <c r="N50" s="812">
        <f>'I fjor'!N50</f>
        <v>0</v>
      </c>
      <c r="P50" s="796"/>
      <c r="Q50" s="531">
        <f>I50*M50*52</f>
        <v>0</v>
      </c>
      <c r="R50" s="621">
        <f>W25</f>
        <v>430.44499999999999</v>
      </c>
      <c r="S50" s="532">
        <f>Z25</f>
        <v>35.5</v>
      </c>
      <c r="T50" s="467">
        <f t="shared" ref="T50:T52" si="10">R50*(1+$M$16)*(1+$M$15)/W50*1000</f>
        <v>355.66934929577462</v>
      </c>
      <c r="U50" s="467">
        <f t="shared" ref="U50:U52" si="11">Q50*T50/1000</f>
        <v>0</v>
      </c>
      <c r="W50" s="593">
        <f t="shared" ref="W50:W52" si="12">S50*46</f>
        <v>1633</v>
      </c>
    </row>
    <row r="51" spans="1:23">
      <c r="A51" s="808" t="str">
        <f>'I fjor'!A51:H51</f>
        <v>Personal- og ledelsesarbeid ansatte</v>
      </c>
      <c r="B51" s="809"/>
      <c r="C51" s="809"/>
      <c r="D51" s="809"/>
      <c r="E51" s="809"/>
      <c r="F51" s="809"/>
      <c r="G51" s="809"/>
      <c r="H51" s="810"/>
      <c r="I51" s="533">
        <f>F40</f>
        <v>20</v>
      </c>
      <c r="J51" s="772"/>
      <c r="K51" s="773"/>
      <c r="L51" s="773"/>
      <c r="M51" s="773"/>
      <c r="N51" s="774"/>
      <c r="O51" s="534">
        <f>'I fjor'!O51</f>
        <v>40</v>
      </c>
      <c r="P51" s="796"/>
      <c r="Q51" s="531">
        <f>I51*O51</f>
        <v>800</v>
      </c>
      <c r="R51" s="534">
        <f>'I fjor'!R51</f>
        <v>530</v>
      </c>
      <c r="S51" s="528">
        <f>'I fjor'!S51</f>
        <v>37.5</v>
      </c>
      <c r="T51" s="467">
        <f t="shared" si="10"/>
        <v>414.57368115942035</v>
      </c>
      <c r="U51" s="467">
        <f t="shared" si="11"/>
        <v>331.65894492753631</v>
      </c>
      <c r="W51" s="593">
        <f t="shared" si="12"/>
        <v>1725</v>
      </c>
    </row>
    <row r="52" spans="1:23">
      <c r="A52" s="813" t="str">
        <f>'I fjor'!A52:I52</f>
        <v>Personal- og ledelsesarbeid nytilsettinger</v>
      </c>
      <c r="B52" s="813"/>
      <c r="C52" s="813"/>
      <c r="D52" s="813"/>
      <c r="E52" s="813"/>
      <c r="F52" s="813"/>
      <c r="G52" s="813"/>
      <c r="H52" s="813"/>
      <c r="I52" s="814"/>
      <c r="J52" s="535">
        <f>AA29</f>
        <v>2</v>
      </c>
      <c r="K52" s="772"/>
      <c r="L52" s="773"/>
      <c r="M52" s="773"/>
      <c r="N52" s="774"/>
      <c r="O52" s="488">
        <f>'I fjor'!O52</f>
        <v>100</v>
      </c>
      <c r="P52" s="797"/>
      <c r="Q52" s="536">
        <f>J52*O52</f>
        <v>200</v>
      </c>
      <c r="R52" s="537">
        <f>'I fjor'!R52</f>
        <v>500</v>
      </c>
      <c r="S52" s="528">
        <f>'I fjor'!S52</f>
        <v>37.5</v>
      </c>
      <c r="T52" s="277">
        <f t="shared" si="10"/>
        <v>391.10724637681164</v>
      </c>
      <c r="U52" s="523">
        <f t="shared" si="11"/>
        <v>78.221449275362332</v>
      </c>
      <c r="W52" s="594">
        <f t="shared" si="12"/>
        <v>1725</v>
      </c>
    </row>
    <row r="53" spans="1:23">
      <c r="A53" s="851" t="str">
        <f>'I fjor'!A53:S53</f>
        <v>Totalt</v>
      </c>
      <c r="B53" s="876"/>
      <c r="C53" s="876"/>
      <c r="D53" s="876"/>
      <c r="E53" s="876"/>
      <c r="F53" s="876"/>
      <c r="G53" s="876"/>
      <c r="H53" s="876"/>
      <c r="I53" s="876"/>
      <c r="J53" s="876"/>
      <c r="K53" s="876"/>
      <c r="L53" s="876"/>
      <c r="M53" s="876"/>
      <c r="N53" s="876"/>
      <c r="O53" s="876"/>
      <c r="P53" s="876"/>
      <c r="Q53" s="876"/>
      <c r="R53" s="876"/>
      <c r="S53" s="876"/>
      <c r="T53" s="852"/>
      <c r="U53" s="467">
        <f>SUM(U49:U52)</f>
        <v>717.87735072463784</v>
      </c>
    </row>
  </sheetData>
  <sheetProtection sheet="1" objects="1" scenarios="1"/>
  <mergeCells count="119">
    <mergeCell ref="A53:T53"/>
    <mergeCell ref="A51:H51"/>
    <mergeCell ref="A1:AA1"/>
    <mergeCell ref="B2:AA2"/>
    <mergeCell ref="CB2:CB3"/>
    <mergeCell ref="B3:AA3"/>
    <mergeCell ref="A20:AA20"/>
    <mergeCell ref="B21:Q21"/>
    <mergeCell ref="R21:R24"/>
    <mergeCell ref="S21:T22"/>
    <mergeCell ref="U21:V21"/>
    <mergeCell ref="X21:X24"/>
    <mergeCell ref="A4:AA4"/>
    <mergeCell ref="C5:AA5"/>
    <mergeCell ref="C6:AA6"/>
    <mergeCell ref="C7:AA7"/>
    <mergeCell ref="C8:AA8"/>
    <mergeCell ref="C9:AA9"/>
    <mergeCell ref="C11:AA11"/>
    <mergeCell ref="B23:E23"/>
    <mergeCell ref="F23:I23"/>
    <mergeCell ref="J23:M23"/>
    <mergeCell ref="C10:AA10"/>
    <mergeCell ref="A29:B29"/>
    <mergeCell ref="AR23:AS23"/>
    <mergeCell ref="BR23:BV23"/>
    <mergeCell ref="U24:V24"/>
    <mergeCell ref="A27:AA27"/>
    <mergeCell ref="A28:B28"/>
    <mergeCell ref="M28:M30"/>
    <mergeCell ref="N28:P28"/>
    <mergeCell ref="T28:V28"/>
    <mergeCell ref="Z28:AA28"/>
    <mergeCell ref="Y21:Y24"/>
    <mergeCell ref="Z21:Z24"/>
    <mergeCell ref="B22:I22"/>
    <mergeCell ref="J22:Q22"/>
    <mergeCell ref="U22:U23"/>
    <mergeCell ref="V22:V23"/>
    <mergeCell ref="W23:W24"/>
    <mergeCell ref="N23:Q23"/>
    <mergeCell ref="W21:W22"/>
    <mergeCell ref="S23:T23"/>
    <mergeCell ref="AA21:AA23"/>
    <mergeCell ref="W28:X28"/>
    <mergeCell ref="W29:X29"/>
    <mergeCell ref="A32:M32"/>
    <mergeCell ref="O32:U32"/>
    <mergeCell ref="W32:AA32"/>
    <mergeCell ref="A33:E34"/>
    <mergeCell ref="F33:G34"/>
    <mergeCell ref="H33:K33"/>
    <mergeCell ref="L33:M34"/>
    <mergeCell ref="C12:AA12"/>
    <mergeCell ref="C13:AA13"/>
    <mergeCell ref="W38:AA38"/>
    <mergeCell ref="A41:E41"/>
    <mergeCell ref="L41:M41"/>
    <mergeCell ref="F39:G39"/>
    <mergeCell ref="W30:X30"/>
    <mergeCell ref="N29:O29"/>
    <mergeCell ref="T29:V29"/>
    <mergeCell ref="A30:B30"/>
    <mergeCell ref="N30:O30"/>
    <mergeCell ref="T30:V30"/>
    <mergeCell ref="W36:AA37"/>
    <mergeCell ref="A37:E37"/>
    <mergeCell ref="F37:G37"/>
    <mergeCell ref="L37:M37"/>
    <mergeCell ref="O37:P37"/>
    <mergeCell ref="A36:E36"/>
    <mergeCell ref="F36:G36"/>
    <mergeCell ref="L36:M36"/>
    <mergeCell ref="O36:P36"/>
    <mergeCell ref="F35:G35"/>
    <mergeCell ref="L35:M35"/>
    <mergeCell ref="O35:P35"/>
    <mergeCell ref="W35:AA35"/>
    <mergeCell ref="A31:AA31"/>
    <mergeCell ref="R47:S47"/>
    <mergeCell ref="T47:T48"/>
    <mergeCell ref="U47:U48"/>
    <mergeCell ref="A44:E44"/>
    <mergeCell ref="F44:G44"/>
    <mergeCell ref="A38:E38"/>
    <mergeCell ref="F38:G38"/>
    <mergeCell ref="L38:M38"/>
    <mergeCell ref="A40:E40"/>
    <mergeCell ref="A42:K42"/>
    <mergeCell ref="L42:M42"/>
    <mergeCell ref="A43:E43"/>
    <mergeCell ref="F43:G43"/>
    <mergeCell ref="A39:E39"/>
    <mergeCell ref="O38:U38"/>
    <mergeCell ref="F40:G40"/>
    <mergeCell ref="K52:N52"/>
    <mergeCell ref="O33:U33"/>
    <mergeCell ref="A35:E35"/>
    <mergeCell ref="A45:AA45"/>
    <mergeCell ref="A46:E48"/>
    <mergeCell ref="F46:J46"/>
    <mergeCell ref="K46:O46"/>
    <mergeCell ref="P46:P52"/>
    <mergeCell ref="Q46:U46"/>
    <mergeCell ref="F47:H47"/>
    <mergeCell ref="W47:W48"/>
    <mergeCell ref="A49:E49"/>
    <mergeCell ref="I49:J49"/>
    <mergeCell ref="A50:H50"/>
    <mergeCell ref="J50:L50"/>
    <mergeCell ref="M50:N50"/>
    <mergeCell ref="J51:N51"/>
    <mergeCell ref="A52:I52"/>
    <mergeCell ref="I47:I48"/>
    <mergeCell ref="J47:J48"/>
    <mergeCell ref="K47:L47"/>
    <mergeCell ref="M47:N48"/>
    <mergeCell ref="O47:O48"/>
    <mergeCell ref="Q47:Q48"/>
  </mergeCells>
  <pageMargins left="0.7" right="0.7" top="0.75" bottom="0.75" header="0.3" footer="0.3"/>
  <pageSetup paperSize="9" orientation="portrait" r:id="rId1"/>
  <ignoredErrors>
    <ignoredError sqref="B26:Q26 P29:Q30 A35:E35 Q35:U36 A46:U52 M15:Z18 M19:Z19 L30 AA29 D24 L24:P24 H24 T26:Z26 B39:E39 J25:O25 Q25 D25:E25 J36 H35:J35 J37 W25:Z25 J38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P53"/>
  <sheetViews>
    <sheetView showGridLines="0" showZeros="0" topLeftCell="A7" zoomScale="113" zoomScaleNormal="113" workbookViewId="0">
      <selection activeCell="L30" sqref="L30"/>
    </sheetView>
  </sheetViews>
  <sheetFormatPr baseColWidth="10" defaultRowHeight="12.75"/>
  <cols>
    <col min="1" max="1" width="7.28515625" style="221" customWidth="1"/>
    <col min="2" max="2" width="7.5703125" style="221" customWidth="1"/>
    <col min="3" max="3" width="7.28515625" style="221" customWidth="1"/>
    <col min="4" max="4" width="5.7109375" style="221" customWidth="1"/>
    <col min="5" max="5" width="7.42578125" style="221" customWidth="1"/>
    <col min="6" max="6" width="6.85546875" style="221" customWidth="1"/>
    <col min="7" max="7" width="6.5703125" style="221" customWidth="1"/>
    <col min="8" max="8" width="5.7109375" style="221" customWidth="1"/>
    <col min="9" max="9" width="8.28515625" style="221" customWidth="1"/>
    <col min="10" max="10" width="6.42578125" style="221" customWidth="1"/>
    <col min="11" max="11" width="6.7109375" style="221" customWidth="1"/>
    <col min="12" max="12" width="7" style="221" customWidth="1"/>
    <col min="13" max="13" width="7.5703125" style="221" customWidth="1"/>
    <col min="14" max="14" width="6.42578125" style="221" customWidth="1"/>
    <col min="15" max="15" width="6.7109375" style="221" customWidth="1"/>
    <col min="16" max="16" width="7" style="221" customWidth="1"/>
    <col min="17" max="17" width="7.7109375" style="221" customWidth="1"/>
    <col min="18" max="18" width="9.140625" style="221" customWidth="1"/>
    <col min="19" max="19" width="6.28515625" style="221" customWidth="1"/>
    <col min="20" max="20" width="6.42578125" style="221" customWidth="1"/>
    <col min="21" max="21" width="8.7109375" style="221" customWidth="1"/>
    <col min="22" max="22" width="8" style="221" customWidth="1"/>
    <col min="23" max="23" width="11" style="221" customWidth="1"/>
    <col min="24" max="24" width="7" style="221" customWidth="1"/>
    <col min="25" max="25" width="10.5703125" style="221" customWidth="1"/>
    <col min="26" max="26" width="8.5703125" style="221" customWidth="1"/>
    <col min="27" max="27" width="11.42578125" style="221" customWidth="1"/>
    <col min="28" max="29" width="8.5703125" style="221" hidden="1" customWidth="1"/>
    <col min="30" max="91" width="11.42578125" style="221" hidden="1" customWidth="1"/>
    <col min="92" max="112" width="0" style="221" hidden="1" customWidth="1"/>
    <col min="113" max="16384" width="11.42578125" style="221"/>
  </cols>
  <sheetData>
    <row r="1" spans="1:102" ht="26.25">
      <c r="A1" s="766" t="s">
        <v>219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  <c r="L1" s="767"/>
      <c r="M1" s="767"/>
      <c r="N1" s="767"/>
      <c r="O1" s="767"/>
      <c r="P1" s="767"/>
      <c r="Q1" s="767"/>
      <c r="R1" s="767"/>
      <c r="S1" s="767"/>
      <c r="T1" s="767"/>
      <c r="U1" s="767"/>
      <c r="V1" s="767"/>
      <c r="W1" s="767"/>
      <c r="X1" s="767"/>
      <c r="Y1" s="767"/>
      <c r="Z1" s="767"/>
      <c r="AA1" s="768"/>
    </row>
    <row r="2" spans="1:102">
      <c r="A2" s="431"/>
      <c r="B2" s="808" t="s">
        <v>259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  <c r="R2" s="809"/>
      <c r="S2" s="809"/>
      <c r="T2" s="809"/>
      <c r="U2" s="809"/>
      <c r="V2" s="809"/>
      <c r="W2" s="809"/>
      <c r="X2" s="809"/>
      <c r="Y2" s="809"/>
      <c r="Z2" s="809"/>
      <c r="AA2" s="810"/>
      <c r="AB2" s="222">
        <v>0.70833333333333337</v>
      </c>
      <c r="AC2" s="223"/>
      <c r="AD2" s="224">
        <v>1</v>
      </c>
      <c r="AE2" s="222">
        <v>0.70833333333333337</v>
      </c>
      <c r="AF2" s="223"/>
      <c r="AG2" s="225">
        <f>AD2</f>
        <v>1</v>
      </c>
      <c r="CB2" s="770" t="s">
        <v>148</v>
      </c>
    </row>
    <row r="3" spans="1:102">
      <c r="A3" s="432"/>
      <c r="B3" s="808" t="s">
        <v>261</v>
      </c>
      <c r="C3" s="809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  <c r="R3" s="809"/>
      <c r="S3" s="809"/>
      <c r="T3" s="809"/>
      <c r="U3" s="809"/>
      <c r="V3" s="809"/>
      <c r="W3" s="809"/>
      <c r="X3" s="809"/>
      <c r="Y3" s="809"/>
      <c r="Z3" s="809"/>
      <c r="AA3" s="810"/>
      <c r="AB3" s="226">
        <f>Z18-AB2</f>
        <v>0.21875</v>
      </c>
      <c r="AC3" s="227"/>
      <c r="AD3" s="228">
        <f>AD2-M18</f>
        <v>8.333333333333337E-2</v>
      </c>
      <c r="AE3" s="226">
        <f>Z19-AE2</f>
        <v>0.21875</v>
      </c>
      <c r="AF3" s="227"/>
      <c r="AG3" s="229">
        <f>AG2-M19</f>
        <v>8.333333333333337E-2</v>
      </c>
      <c r="CB3" s="771"/>
    </row>
    <row r="4" spans="1:102">
      <c r="A4" s="780"/>
      <c r="B4" s="781"/>
      <c r="C4" s="781"/>
      <c r="D4" s="781"/>
      <c r="E4" s="781"/>
      <c r="F4" s="781"/>
      <c r="G4" s="781"/>
      <c r="H4" s="781"/>
      <c r="I4" s="781"/>
      <c r="J4" s="781"/>
      <c r="K4" s="781"/>
      <c r="L4" s="781"/>
      <c r="M4" s="781"/>
      <c r="N4" s="781"/>
      <c r="O4" s="781"/>
      <c r="P4" s="781"/>
      <c r="Q4" s="781"/>
      <c r="R4" s="781"/>
      <c r="S4" s="781"/>
      <c r="T4" s="781"/>
      <c r="U4" s="781"/>
      <c r="V4" s="781"/>
      <c r="W4" s="781"/>
      <c r="X4" s="781"/>
      <c r="Y4" s="781"/>
      <c r="Z4" s="781"/>
      <c r="AA4" s="782"/>
      <c r="AB4" s="230"/>
      <c r="AC4" s="231"/>
      <c r="AD4" s="232"/>
      <c r="AE4" s="230"/>
      <c r="AF4" s="231"/>
      <c r="AG4" s="232"/>
      <c r="CB4" s="233"/>
    </row>
    <row r="5" spans="1:102">
      <c r="A5" s="610"/>
      <c r="B5" s="434" t="s">
        <v>195</v>
      </c>
      <c r="C5" s="851" t="s">
        <v>217</v>
      </c>
      <c r="D5" s="876"/>
      <c r="E5" s="876"/>
      <c r="F5" s="876"/>
      <c r="G5" s="876"/>
      <c r="H5" s="876"/>
      <c r="I5" s="876"/>
      <c r="J5" s="876"/>
      <c r="K5" s="876"/>
      <c r="L5" s="876"/>
      <c r="M5" s="876"/>
      <c r="N5" s="876"/>
      <c r="O5" s="876"/>
      <c r="P5" s="876"/>
      <c r="Q5" s="876"/>
      <c r="R5" s="876"/>
      <c r="S5" s="876"/>
      <c r="T5" s="876"/>
      <c r="U5" s="876"/>
      <c r="V5" s="876"/>
      <c r="W5" s="876"/>
      <c r="X5" s="876"/>
      <c r="Y5" s="876"/>
      <c r="Z5" s="876"/>
      <c r="AA5" s="852"/>
      <c r="AB5" s="230"/>
      <c r="AC5" s="231"/>
      <c r="AD5" s="232"/>
      <c r="AE5" s="230"/>
      <c r="AF5" s="231"/>
      <c r="AG5" s="232"/>
      <c r="CB5" s="233"/>
    </row>
    <row r="6" spans="1:102">
      <c r="A6" s="611"/>
      <c r="B6" s="434" t="s">
        <v>197</v>
      </c>
      <c r="C6" s="851" t="s">
        <v>268</v>
      </c>
      <c r="D6" s="876"/>
      <c r="E6" s="876"/>
      <c r="F6" s="876"/>
      <c r="G6" s="876"/>
      <c r="H6" s="876"/>
      <c r="I6" s="876"/>
      <c r="J6" s="876"/>
      <c r="K6" s="876"/>
      <c r="L6" s="876"/>
      <c r="M6" s="876"/>
      <c r="N6" s="876"/>
      <c r="O6" s="876"/>
      <c r="P6" s="876"/>
      <c r="Q6" s="876"/>
      <c r="R6" s="876"/>
      <c r="S6" s="876"/>
      <c r="T6" s="876"/>
      <c r="U6" s="876"/>
      <c r="V6" s="876"/>
      <c r="W6" s="876"/>
      <c r="X6" s="876"/>
      <c r="Y6" s="876"/>
      <c r="Z6" s="876"/>
      <c r="AA6" s="852"/>
      <c r="AB6" s="230"/>
      <c r="AC6" s="231"/>
      <c r="AD6" s="232"/>
      <c r="AE6" s="230"/>
      <c r="AF6" s="231"/>
      <c r="AG6" s="232"/>
      <c r="CB6" s="233"/>
    </row>
    <row r="7" spans="1:102">
      <c r="A7" s="612"/>
      <c r="B7" s="434" t="s">
        <v>198</v>
      </c>
      <c r="C7" s="851" t="s">
        <v>267</v>
      </c>
      <c r="D7" s="876"/>
      <c r="E7" s="876"/>
      <c r="F7" s="876"/>
      <c r="G7" s="876"/>
      <c r="H7" s="876"/>
      <c r="I7" s="876"/>
      <c r="J7" s="876"/>
      <c r="K7" s="876"/>
      <c r="L7" s="876"/>
      <c r="M7" s="876"/>
      <c r="N7" s="876"/>
      <c r="O7" s="876"/>
      <c r="P7" s="876"/>
      <c r="Q7" s="876"/>
      <c r="R7" s="876"/>
      <c r="S7" s="876"/>
      <c r="T7" s="876"/>
      <c r="U7" s="876"/>
      <c r="V7" s="876"/>
      <c r="W7" s="876"/>
      <c r="X7" s="876"/>
      <c r="Y7" s="876"/>
      <c r="Z7" s="876"/>
      <c r="AA7" s="852"/>
      <c r="AB7" s="230"/>
      <c r="AC7" s="231"/>
      <c r="AD7" s="232"/>
      <c r="AE7" s="230"/>
      <c r="AF7" s="231"/>
      <c r="AG7" s="232"/>
      <c r="CB7" s="233"/>
    </row>
    <row r="8" spans="1:102" hidden="1">
      <c r="A8" s="433"/>
      <c r="B8" s="434"/>
      <c r="C8" s="851"/>
      <c r="D8" s="876"/>
      <c r="E8" s="876"/>
      <c r="F8" s="876"/>
      <c r="G8" s="876"/>
      <c r="H8" s="876"/>
      <c r="I8" s="876"/>
      <c r="J8" s="876"/>
      <c r="K8" s="876"/>
      <c r="L8" s="876"/>
      <c r="M8" s="876"/>
      <c r="N8" s="876"/>
      <c r="O8" s="876"/>
      <c r="P8" s="876"/>
      <c r="Q8" s="876"/>
      <c r="R8" s="876"/>
      <c r="S8" s="876"/>
      <c r="T8" s="876"/>
      <c r="U8" s="876"/>
      <c r="V8" s="876"/>
      <c r="W8" s="876"/>
      <c r="X8" s="876"/>
      <c r="Y8" s="876"/>
      <c r="Z8" s="876"/>
      <c r="AA8" s="852"/>
      <c r="AB8" s="230"/>
      <c r="AC8" s="231"/>
      <c r="AD8" s="232"/>
      <c r="AE8" s="230"/>
      <c r="AF8" s="231"/>
      <c r="AG8" s="232"/>
      <c r="CB8" s="233"/>
    </row>
    <row r="9" spans="1:102" hidden="1">
      <c r="A9" s="433"/>
      <c r="B9" s="435"/>
      <c r="C9" s="435"/>
      <c r="D9" s="435"/>
      <c r="E9" s="435"/>
      <c r="F9" s="435"/>
      <c r="G9" s="435"/>
      <c r="H9" s="435"/>
      <c r="I9" s="435"/>
      <c r="J9" s="435"/>
      <c r="K9" s="435"/>
      <c r="L9" s="435"/>
      <c r="M9" s="436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6"/>
      <c r="AA9" s="435"/>
      <c r="AB9" s="230"/>
      <c r="AC9" s="231"/>
      <c r="AD9" s="232"/>
      <c r="AE9" s="230"/>
      <c r="AF9" s="231"/>
      <c r="AG9" s="232"/>
      <c r="CB9" s="233"/>
    </row>
    <row r="10" spans="1:102" hidden="1">
      <c r="A10" s="433"/>
      <c r="B10" s="435"/>
      <c r="C10" s="435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5"/>
      <c r="AC10" s="435"/>
      <c r="AD10" s="435"/>
      <c r="AE10" s="435"/>
      <c r="AF10" s="435"/>
      <c r="AG10" s="435"/>
      <c r="AH10" s="435"/>
      <c r="AI10" s="435"/>
      <c r="AJ10" s="435"/>
      <c r="AK10" s="435"/>
      <c r="AL10" s="435"/>
      <c r="AM10" s="435"/>
      <c r="AN10" s="435"/>
      <c r="AO10" s="435"/>
      <c r="AP10" s="435"/>
      <c r="AQ10" s="435"/>
      <c r="AR10" s="435"/>
      <c r="AS10" s="435"/>
      <c r="AT10" s="435"/>
      <c r="AU10" s="435"/>
      <c r="AV10" s="435"/>
      <c r="AW10" s="435"/>
      <c r="AX10" s="435"/>
      <c r="AY10" s="435"/>
      <c r="AZ10" s="435"/>
      <c r="BA10" s="435"/>
      <c r="BB10" s="435"/>
      <c r="BC10" s="435"/>
      <c r="BD10" s="435"/>
      <c r="BE10" s="435"/>
      <c r="BF10" s="435"/>
      <c r="BG10" s="435"/>
      <c r="BH10" s="435"/>
      <c r="BI10" s="435"/>
      <c r="BJ10" s="435"/>
      <c r="BK10" s="435"/>
      <c r="BL10" s="435"/>
      <c r="BM10" s="435"/>
      <c r="BN10" s="435"/>
      <c r="BO10" s="435"/>
      <c r="BP10" s="435"/>
      <c r="BQ10" s="435"/>
      <c r="BR10" s="435"/>
      <c r="BS10" s="435"/>
      <c r="BT10" s="435"/>
      <c r="BU10" s="435"/>
      <c r="BV10" s="435"/>
      <c r="BW10" s="435"/>
      <c r="BX10" s="435"/>
      <c r="BY10" s="435"/>
      <c r="BZ10" s="435"/>
      <c r="CA10" s="435"/>
      <c r="CB10" s="435"/>
      <c r="CC10" s="435"/>
      <c r="CD10" s="435"/>
      <c r="CE10" s="435"/>
      <c r="CF10" s="435"/>
      <c r="CG10" s="435"/>
      <c r="CH10" s="435"/>
      <c r="CI10" s="435"/>
      <c r="CJ10" s="435"/>
      <c r="CK10" s="435"/>
      <c r="CL10" s="435"/>
      <c r="CM10" s="435"/>
      <c r="CN10" s="435"/>
      <c r="CO10" s="435"/>
      <c r="CP10" s="435"/>
      <c r="CQ10" s="435"/>
      <c r="CR10" s="435"/>
      <c r="CS10" s="435"/>
      <c r="CT10" s="435"/>
      <c r="CU10" s="435"/>
      <c r="CV10" s="435"/>
      <c r="CW10" s="435"/>
      <c r="CX10" s="435"/>
    </row>
    <row r="11" spans="1:102" hidden="1">
      <c r="A11" s="433"/>
      <c r="B11" s="435"/>
      <c r="C11" s="435"/>
      <c r="D11" s="435"/>
      <c r="E11" s="435"/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5"/>
      <c r="AC11" s="435"/>
      <c r="AD11" s="435"/>
      <c r="AE11" s="435"/>
      <c r="AF11" s="435"/>
      <c r="AG11" s="435"/>
      <c r="AH11" s="435"/>
      <c r="AI11" s="435"/>
      <c r="AJ11" s="435"/>
      <c r="AK11" s="435"/>
      <c r="AL11" s="435"/>
      <c r="AM11" s="435"/>
      <c r="AN11" s="435"/>
      <c r="AO11" s="435"/>
      <c r="AP11" s="435"/>
      <c r="AQ11" s="435"/>
      <c r="AR11" s="435"/>
      <c r="AS11" s="435"/>
      <c r="AT11" s="435"/>
      <c r="AU11" s="435"/>
      <c r="AV11" s="435"/>
      <c r="AW11" s="435"/>
      <c r="AX11" s="435"/>
      <c r="AY11" s="435"/>
      <c r="AZ11" s="435"/>
      <c r="BA11" s="435"/>
      <c r="BB11" s="435"/>
      <c r="BC11" s="435"/>
      <c r="BD11" s="435"/>
      <c r="BE11" s="435"/>
      <c r="BF11" s="435"/>
      <c r="BG11" s="435"/>
      <c r="BH11" s="435"/>
      <c r="BI11" s="435"/>
      <c r="BJ11" s="435"/>
      <c r="BK11" s="435"/>
      <c r="BL11" s="435"/>
      <c r="BM11" s="435"/>
      <c r="BN11" s="435"/>
      <c r="BO11" s="435"/>
      <c r="BP11" s="435"/>
      <c r="BQ11" s="435"/>
      <c r="BR11" s="435"/>
      <c r="BS11" s="435"/>
      <c r="BT11" s="435"/>
      <c r="BU11" s="435"/>
      <c r="BV11" s="435"/>
      <c r="BW11" s="435"/>
      <c r="BX11" s="435"/>
      <c r="BY11" s="435"/>
      <c r="BZ11" s="435"/>
      <c r="CA11" s="435"/>
      <c r="CB11" s="435"/>
      <c r="CC11" s="435"/>
      <c r="CD11" s="435"/>
      <c r="CE11" s="435"/>
      <c r="CF11" s="435"/>
      <c r="CG11" s="435"/>
      <c r="CH11" s="435"/>
      <c r="CI11" s="435"/>
      <c r="CJ11" s="435"/>
      <c r="CK11" s="435"/>
      <c r="CL11" s="435"/>
      <c r="CM11" s="435"/>
      <c r="CN11" s="435"/>
      <c r="CO11" s="435"/>
      <c r="CP11" s="435"/>
      <c r="CQ11" s="435"/>
      <c r="CR11" s="435"/>
      <c r="CS11" s="435"/>
      <c r="CT11" s="435"/>
      <c r="CU11" s="435"/>
      <c r="CV11" s="435"/>
      <c r="CW11" s="435"/>
      <c r="CX11" s="435"/>
    </row>
    <row r="12" spans="1:102" ht="15" hidden="1" customHeight="1">
      <c r="A12" s="433"/>
      <c r="B12" s="435"/>
      <c r="C12" s="435"/>
      <c r="D12" s="435"/>
      <c r="E12" s="435"/>
      <c r="F12" s="435"/>
      <c r="G12" s="435"/>
      <c r="H12" s="435"/>
      <c r="I12" s="435"/>
      <c r="J12" s="435"/>
      <c r="K12" s="435"/>
      <c r="L12" s="435"/>
      <c r="M12" s="435"/>
      <c r="N12" s="435"/>
      <c r="O12" s="435"/>
      <c r="P12" s="435"/>
      <c r="Q12" s="435"/>
      <c r="R12" s="435"/>
      <c r="S12" s="435"/>
      <c r="T12" s="435"/>
      <c r="U12" s="435"/>
      <c r="V12" s="435"/>
      <c r="W12" s="435"/>
      <c r="X12" s="435"/>
      <c r="Y12" s="435"/>
      <c r="Z12" s="435"/>
      <c r="AA12" s="435"/>
      <c r="AB12" s="435"/>
      <c r="AC12" s="435"/>
      <c r="AD12" s="435"/>
      <c r="AE12" s="435"/>
      <c r="AF12" s="435"/>
      <c r="AG12" s="435"/>
      <c r="AH12" s="435"/>
      <c r="AI12" s="435"/>
      <c r="AJ12" s="435"/>
      <c r="AK12" s="435"/>
      <c r="AL12" s="435"/>
      <c r="AM12" s="435"/>
      <c r="AN12" s="435"/>
      <c r="AO12" s="435"/>
      <c r="AP12" s="435"/>
      <c r="AQ12" s="435"/>
      <c r="AR12" s="435"/>
      <c r="AS12" s="435"/>
      <c r="AT12" s="435"/>
      <c r="AU12" s="435"/>
      <c r="AV12" s="435"/>
      <c r="AW12" s="435"/>
      <c r="AX12" s="435"/>
      <c r="AY12" s="435"/>
      <c r="AZ12" s="435"/>
      <c r="BA12" s="435"/>
      <c r="BB12" s="435"/>
      <c r="BC12" s="435"/>
      <c r="BD12" s="435"/>
      <c r="BE12" s="435"/>
      <c r="BF12" s="435"/>
      <c r="BG12" s="435"/>
      <c r="BH12" s="435"/>
      <c r="BI12" s="435"/>
      <c r="BJ12" s="435"/>
      <c r="BK12" s="435"/>
      <c r="BL12" s="435"/>
      <c r="BM12" s="435"/>
      <c r="BN12" s="435"/>
      <c r="BO12" s="435"/>
      <c r="BP12" s="435"/>
      <c r="BQ12" s="435"/>
      <c r="BR12" s="435"/>
      <c r="BS12" s="435"/>
      <c r="BT12" s="435"/>
      <c r="BU12" s="435"/>
      <c r="BV12" s="435"/>
      <c r="BW12" s="435"/>
      <c r="BX12" s="435"/>
      <c r="BY12" s="435"/>
      <c r="BZ12" s="435"/>
      <c r="CA12" s="435"/>
      <c r="CB12" s="435"/>
      <c r="CC12" s="435"/>
      <c r="CD12" s="435"/>
      <c r="CE12" s="435"/>
      <c r="CF12" s="435"/>
      <c r="CG12" s="435"/>
      <c r="CH12" s="435"/>
      <c r="CI12" s="435"/>
      <c r="CJ12" s="435"/>
      <c r="CK12" s="435"/>
      <c r="CL12" s="435"/>
      <c r="CM12" s="435"/>
      <c r="CN12" s="435"/>
      <c r="CO12" s="435"/>
      <c r="CP12" s="435"/>
      <c r="CQ12" s="435"/>
      <c r="CR12" s="435"/>
      <c r="CS12" s="435"/>
      <c r="CT12" s="435"/>
      <c r="CU12" s="435"/>
      <c r="CV12" s="435"/>
      <c r="CW12" s="435"/>
      <c r="CX12" s="435"/>
    </row>
    <row r="13" spans="1:102" ht="15" hidden="1" customHeight="1">
      <c r="A13" s="433"/>
      <c r="B13" s="435"/>
      <c r="C13" s="435"/>
      <c r="D13" s="435"/>
      <c r="E13" s="435"/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435"/>
      <c r="R13" s="435"/>
      <c r="S13" s="435"/>
      <c r="T13" s="435"/>
      <c r="U13" s="435"/>
      <c r="V13" s="435"/>
      <c r="W13" s="435"/>
      <c r="X13" s="435"/>
      <c r="Y13" s="435"/>
      <c r="Z13" s="435"/>
      <c r="AA13" s="435"/>
      <c r="AB13" s="435"/>
      <c r="AD13" s="435"/>
      <c r="AE13" s="435"/>
      <c r="AF13" s="435"/>
      <c r="AG13" s="435"/>
      <c r="AH13" s="435"/>
      <c r="AI13" s="435"/>
      <c r="AJ13" s="435"/>
      <c r="AK13" s="435"/>
      <c r="AL13" s="435"/>
      <c r="AM13" s="435"/>
      <c r="AN13" s="435"/>
      <c r="AO13" s="435"/>
      <c r="AP13" s="435"/>
      <c r="AQ13" s="435"/>
      <c r="AR13" s="435"/>
      <c r="AS13" s="435"/>
      <c r="AT13" s="435"/>
      <c r="AU13" s="435"/>
      <c r="AV13" s="435"/>
      <c r="AW13" s="435"/>
      <c r="AX13" s="435"/>
      <c r="AY13" s="435"/>
      <c r="AZ13" s="435"/>
      <c r="BA13" s="435"/>
      <c r="BB13" s="435"/>
      <c r="BC13" s="435"/>
      <c r="BD13" s="435"/>
      <c r="BE13" s="435"/>
      <c r="BF13" s="435"/>
      <c r="BG13" s="435"/>
      <c r="BH13" s="435"/>
      <c r="BI13" s="435"/>
      <c r="BJ13" s="435"/>
      <c r="BK13" s="435"/>
      <c r="BL13" s="435"/>
      <c r="BM13" s="435"/>
      <c r="BN13" s="435"/>
      <c r="BO13" s="435"/>
      <c r="BP13" s="435"/>
      <c r="BQ13" s="435"/>
      <c r="BR13" s="435"/>
      <c r="BS13" s="435"/>
      <c r="BT13" s="435"/>
      <c r="BU13" s="435"/>
      <c r="BV13" s="435"/>
      <c r="BW13" s="435"/>
      <c r="BX13" s="435"/>
      <c r="BY13" s="435"/>
      <c r="BZ13" s="435"/>
      <c r="CA13" s="435"/>
      <c r="CB13" s="435"/>
      <c r="CC13" s="435"/>
      <c r="CD13" s="435"/>
      <c r="CE13" s="435"/>
      <c r="CF13" s="435"/>
      <c r="CG13" s="435"/>
      <c r="CH13" s="435"/>
      <c r="CI13" s="435"/>
      <c r="CJ13" s="435"/>
      <c r="CK13" s="435"/>
      <c r="CL13" s="435"/>
      <c r="CM13" s="297"/>
      <c r="CN13" s="435"/>
      <c r="CO13" s="435"/>
      <c r="CP13" s="435"/>
      <c r="CQ13" s="435"/>
      <c r="CR13" s="435"/>
      <c r="CS13" s="435"/>
      <c r="CT13" s="435"/>
      <c r="CU13" s="435"/>
      <c r="CV13" s="435"/>
      <c r="CW13" s="435"/>
      <c r="CX13" s="435"/>
    </row>
    <row r="14" spans="1:102" ht="15" hidden="1" customHeight="1">
      <c r="A14" s="433"/>
      <c r="B14" s="435"/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230"/>
      <c r="AC14" s="231"/>
      <c r="AD14" s="232"/>
      <c r="AE14" s="230"/>
      <c r="AF14" s="231"/>
      <c r="AG14" s="232"/>
      <c r="CB14" s="233"/>
    </row>
    <row r="15" spans="1:102">
      <c r="A15" s="437"/>
      <c r="B15" s="221" t="str">
        <f>'I fjor'!B15</f>
        <v>Sats arbeidsgiveravgift</v>
      </c>
      <c r="M15" s="311">
        <f>'plan i år'!M15</f>
        <v>0.106</v>
      </c>
      <c r="N15" s="231"/>
      <c r="O15" s="231" t="str">
        <f>'I fjor'!O15</f>
        <v>Lørdag- og sørndagstillegg, tillegg utover minimumstats i tariffavtalen</v>
      </c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311">
        <f>'plan i år'!Z15</f>
        <v>0</v>
      </c>
    </row>
    <row r="16" spans="1:102">
      <c r="B16" s="221" t="str">
        <f>'I fjor'!B16</f>
        <v>Pensjonskostnad, andel av fastlønn og fasre tillegg</v>
      </c>
      <c r="M16" s="311">
        <f>'plan i år'!M16</f>
        <v>0.22</v>
      </c>
      <c r="N16" s="231"/>
      <c r="O16" s="231" t="str">
        <f>'I fjor'!O16</f>
        <v>Nattillegg, tillegg utover minimumstats i tariffavtalen</v>
      </c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311">
        <f>'plan i år'!Z16</f>
        <v>0</v>
      </c>
    </row>
    <row r="17" spans="1:169">
      <c r="M17" s="312"/>
      <c r="N17" s="231"/>
      <c r="O17" s="231" t="str">
        <f>'I fjor'!O17</f>
        <v>Andel avspasering helligdagstillegg</v>
      </c>
      <c r="P17" s="231"/>
      <c r="Q17" s="231"/>
      <c r="R17" s="231"/>
      <c r="S17" s="231"/>
      <c r="T17" s="231"/>
      <c r="U17" s="231"/>
      <c r="V17" s="231"/>
      <c r="W17" s="231"/>
      <c r="X17" s="572"/>
      <c r="Y17" s="231"/>
      <c r="Z17" s="311">
        <f>'plan i år'!Z17</f>
        <v>0</v>
      </c>
    </row>
    <row r="18" spans="1:169">
      <c r="B18" s="221" t="str">
        <f>'I fjor'!B18</f>
        <v>Starttidspunkt nattevakt hverdag</v>
      </c>
      <c r="M18" s="570">
        <f>'plan i år'!M18</f>
        <v>0.91666666666666663</v>
      </c>
      <c r="N18" s="231"/>
      <c r="O18" s="231" t="str">
        <f>'I fjor'!O18</f>
        <v>Sluttidspunkt kveldsvakt hverdag</v>
      </c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570">
        <f>'plan i år'!Z18</f>
        <v>0.92708333333333337</v>
      </c>
      <c r="BB18" s="221" t="s">
        <v>136</v>
      </c>
    </row>
    <row r="19" spans="1:169">
      <c r="B19" s="221" t="str">
        <f>'I fjor'!B19</f>
        <v>Starttidspunkt nattevakt helg/helligdag</v>
      </c>
      <c r="M19" s="571">
        <f>'plan i år'!M19</f>
        <v>0.91666666666666663</v>
      </c>
      <c r="N19" s="227"/>
      <c r="O19" s="227" t="str">
        <f>'I fjor'!O19</f>
        <v>Sluttidspunkt kveldsvakt helg/helligdag</v>
      </c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571">
        <f>'plan i år'!Z19</f>
        <v>0.92708333333333337</v>
      </c>
    </row>
    <row r="20" spans="1:169">
      <c r="A20" s="780"/>
      <c r="B20" s="781"/>
      <c r="C20" s="781"/>
      <c r="D20" s="781"/>
      <c r="E20" s="781"/>
      <c r="F20" s="781"/>
      <c r="G20" s="781"/>
      <c r="H20" s="781"/>
      <c r="I20" s="781"/>
      <c r="J20" s="781"/>
      <c r="K20" s="781"/>
      <c r="L20" s="781"/>
      <c r="M20" s="877"/>
      <c r="N20" s="877"/>
      <c r="O20" s="877"/>
      <c r="P20" s="877"/>
      <c r="Q20" s="877"/>
      <c r="R20" s="877"/>
      <c r="S20" s="877"/>
      <c r="T20" s="877"/>
      <c r="U20" s="877"/>
      <c r="V20" s="877"/>
      <c r="W20" s="877"/>
      <c r="X20" s="877"/>
      <c r="Y20" s="877"/>
      <c r="Z20" s="877"/>
      <c r="AA20" s="782"/>
    </row>
    <row r="21" spans="1:169" s="238" customFormat="1" ht="25.5" customHeight="1">
      <c r="A21" s="439"/>
      <c r="B21" s="733" t="str">
        <f>'I fjor'!B21:Q21</f>
        <v>Antall tilstede og arbeidstid fylles ut på grunnlag av bemanningsplanen</v>
      </c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678"/>
      <c r="R21" s="748" t="str">
        <f>'I fjor'!R21:R24</f>
        <v>Antall årsverk i bemanningsplanen</v>
      </c>
      <c r="S21" s="676" t="str">
        <f>'I fjor'!S21:T22</f>
        <v>Overtid  (gjennomsnitt)</v>
      </c>
      <c r="T21" s="709"/>
      <c r="U21" s="742" t="str">
        <f>'I fjor'!U21:V21</f>
        <v xml:space="preserve">Innleie av vikarer </v>
      </c>
      <c r="V21" s="743"/>
      <c r="W21" s="748" t="str">
        <f>'I fjor'!W21:W22</f>
        <v>Gjennomsnitt-lig grunnlønn pr. årsverk</v>
      </c>
      <c r="X21" s="748" t="str">
        <f>'I fjor'!X21:X24</f>
        <v>Antall årsverk  (inkl fast ansatte) utover be. plan</v>
      </c>
      <c r="Y21" s="748" t="str">
        <f>'I fjor'!Y21:Y24</f>
        <v>Fast ansatte utover bemannings-plan (overbooking)</v>
      </c>
      <c r="Z21" s="748" t="str">
        <f>'I fjor'!Z21:Z24</f>
        <v>Arbeidstid pr uke</v>
      </c>
      <c r="AA21" s="748" t="str">
        <f>'I fjor'!AA21:AA23</f>
        <v>Lønnsutgifter fratrukket refusjon folketrygden (beregnet)</v>
      </c>
      <c r="AB21" s="234" t="s">
        <v>29</v>
      </c>
      <c r="AC21" s="235"/>
      <c r="AD21" s="235"/>
      <c r="AE21" s="235"/>
      <c r="AF21" s="235"/>
      <c r="AG21" s="235"/>
      <c r="AH21" s="235"/>
      <c r="AI21" s="236" t="s">
        <v>30</v>
      </c>
      <c r="AJ21" s="237"/>
      <c r="AK21" s="237"/>
      <c r="AL21" s="237"/>
      <c r="AM21" s="235"/>
      <c r="AN21" s="235"/>
      <c r="AO21" s="235"/>
      <c r="AP21" s="235"/>
      <c r="AQ21" s="235"/>
      <c r="AR21" s="235"/>
      <c r="AS21" s="235"/>
      <c r="AT21" s="235"/>
      <c r="AU21" s="235"/>
      <c r="AW21" s="236" t="s">
        <v>31</v>
      </c>
      <c r="AX21" s="235"/>
      <c r="AY21" s="235"/>
      <c r="AZ21" s="235"/>
      <c r="BA21" s="239"/>
      <c r="BB21" s="239">
        <v>45</v>
      </c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6" t="s">
        <v>32</v>
      </c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40" t="s">
        <v>126</v>
      </c>
      <c r="BY21" s="241">
        <v>1.33</v>
      </c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</row>
    <row r="22" spans="1:169" s="238" customFormat="1" ht="15.75" customHeight="1">
      <c r="A22" s="440"/>
      <c r="B22" s="751" t="str">
        <f>'I fjor'!B22:I22</f>
        <v>Antall tilstede i gjennomsnitt pr vakt</v>
      </c>
      <c r="C22" s="752"/>
      <c r="D22" s="752"/>
      <c r="E22" s="752"/>
      <c r="F22" s="752"/>
      <c r="G22" s="752"/>
      <c r="H22" s="752"/>
      <c r="I22" s="753"/>
      <c r="J22" s="751" t="str">
        <f>'I fjor'!J22:Q22</f>
        <v>Arbeidstid pr vakt (eventuell passiv vakt omregnes)</v>
      </c>
      <c r="K22" s="752"/>
      <c r="L22" s="752"/>
      <c r="M22" s="752"/>
      <c r="N22" s="752"/>
      <c r="O22" s="752"/>
      <c r="P22" s="752"/>
      <c r="Q22" s="753"/>
      <c r="R22" s="749"/>
      <c r="S22" s="710"/>
      <c r="T22" s="712"/>
      <c r="U22" s="744" t="str">
        <f>'I fjor'!U22:U23</f>
        <v>Ferie-avvikling</v>
      </c>
      <c r="V22" s="744" t="str">
        <f>'I fjor'!V22:V23</f>
        <v>Annen bruk av vikarer</v>
      </c>
      <c r="W22" s="750"/>
      <c r="X22" s="749"/>
      <c r="Y22" s="749"/>
      <c r="Z22" s="749"/>
      <c r="AA22" s="749"/>
      <c r="AB22" s="237" t="str">
        <f>$J23</f>
        <v>Hverdag</v>
      </c>
      <c r="AC22" s="235" t="str">
        <f>$J23</f>
        <v>Hverdag</v>
      </c>
      <c r="AD22" s="235" t="str">
        <f>$J23</f>
        <v>Hverdag</v>
      </c>
      <c r="AE22" s="235" t="str">
        <f>$N23</f>
        <v>Helg/helligdag</v>
      </c>
      <c r="AF22" s="235" t="str">
        <f>$N23</f>
        <v>Helg/helligdag</v>
      </c>
      <c r="AG22" s="235" t="str">
        <f>$N23</f>
        <v>Helg/helligdag</v>
      </c>
      <c r="AH22" s="235" t="str">
        <f>$N23</f>
        <v>Helg/helligdag</v>
      </c>
      <c r="AI22" s="242"/>
      <c r="AJ22" s="237"/>
      <c r="AK22" s="237"/>
      <c r="AL22" s="237"/>
      <c r="AM22" s="235"/>
      <c r="AN22" s="240" t="s">
        <v>127</v>
      </c>
      <c r="AO22" s="243">
        <v>14.5</v>
      </c>
      <c r="AP22" s="235"/>
      <c r="AQ22" s="235"/>
      <c r="AR22" s="235"/>
      <c r="AS22" s="235"/>
      <c r="AT22" s="235"/>
      <c r="AU22" s="235"/>
      <c r="AW22" s="242"/>
      <c r="AX22" s="235"/>
      <c r="AY22" s="235" t="s">
        <v>134</v>
      </c>
      <c r="AZ22" s="239">
        <v>52</v>
      </c>
      <c r="BA22" s="239">
        <v>290</v>
      </c>
      <c r="BB22" s="239">
        <v>54</v>
      </c>
      <c r="BD22" s="235"/>
      <c r="BE22" s="235"/>
      <c r="BF22" s="235"/>
      <c r="BG22" s="235"/>
      <c r="BH22" s="235"/>
      <c r="BI22" s="235"/>
      <c r="BJ22" s="235"/>
      <c r="BK22" s="235"/>
      <c r="BL22" s="235"/>
      <c r="BM22" s="242"/>
      <c r="BN22" s="235"/>
      <c r="BO22" s="235"/>
      <c r="BP22" s="235" t="s">
        <v>133</v>
      </c>
      <c r="BQ22" s="235"/>
      <c r="BR22" s="235" t="s">
        <v>140</v>
      </c>
      <c r="BS22" s="239">
        <v>1850</v>
      </c>
      <c r="BT22" s="235"/>
      <c r="BU22" s="235"/>
      <c r="BV22" s="235"/>
      <c r="BW22" s="235"/>
      <c r="BX22" s="235"/>
      <c r="BY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</row>
    <row r="23" spans="1:169" s="238" customFormat="1" ht="15" customHeight="1">
      <c r="A23" s="441"/>
      <c r="B23" s="720" t="str">
        <f>'I fjor'!B23:E23</f>
        <v>Hverdag</v>
      </c>
      <c r="C23" s="717"/>
      <c r="D23" s="717"/>
      <c r="E23" s="718"/>
      <c r="F23" s="720" t="str">
        <f>'I fjor'!F23:I23</f>
        <v>Helg/helligdag</v>
      </c>
      <c r="G23" s="717"/>
      <c r="H23" s="717"/>
      <c r="I23" s="718"/>
      <c r="J23" s="720" t="str">
        <f>'I fjor'!J23:M23</f>
        <v>Hverdag</v>
      </c>
      <c r="K23" s="717"/>
      <c r="L23" s="717"/>
      <c r="M23" s="718"/>
      <c r="N23" s="720" t="str">
        <f>'I fjor'!N23:Q23</f>
        <v>Helg/helligdag</v>
      </c>
      <c r="O23" s="717"/>
      <c r="P23" s="717"/>
      <c r="Q23" s="718"/>
      <c r="R23" s="749"/>
      <c r="S23" s="720" t="str">
        <f>'I fjor'!S23:T23</f>
        <v>Timer pr. uke</v>
      </c>
      <c r="T23" s="719"/>
      <c r="U23" s="745"/>
      <c r="V23" s="745"/>
      <c r="W23" s="748" t="str">
        <f>'I fjor'!W23:W24</f>
        <v>1000 kr per år</v>
      </c>
      <c r="X23" s="749"/>
      <c r="Y23" s="749"/>
      <c r="Z23" s="749"/>
      <c r="AA23" s="749"/>
      <c r="AB23" s="244" t="str">
        <f>K24</f>
        <v>Kveld</v>
      </c>
      <c r="AC23" s="244" t="str">
        <f>L24</f>
        <v>Langvakt</v>
      </c>
      <c r="AD23" s="244" t="str">
        <f>M24</f>
        <v>Natt</v>
      </c>
      <c r="AE23" s="244" t="str">
        <f>O24</f>
        <v>Kveld</v>
      </c>
      <c r="AF23" s="244" t="str">
        <f>P24</f>
        <v>Langvakt</v>
      </c>
      <c r="AG23" s="244" t="str">
        <f>Q24</f>
        <v>Natt</v>
      </c>
      <c r="AH23" s="244" t="str">
        <f>Q24</f>
        <v>Natt</v>
      </c>
      <c r="AI23" s="245" t="s">
        <v>9</v>
      </c>
      <c r="AJ23" s="246" t="s">
        <v>9</v>
      </c>
      <c r="AK23" s="246" t="s">
        <v>9</v>
      </c>
      <c r="AL23" s="246" t="s">
        <v>9</v>
      </c>
      <c r="AM23" s="247" t="s">
        <v>55</v>
      </c>
      <c r="AN23" s="247" t="s">
        <v>55</v>
      </c>
      <c r="AO23" s="247" t="s">
        <v>56</v>
      </c>
      <c r="AP23" s="235"/>
      <c r="AQ23" s="235" t="s">
        <v>58</v>
      </c>
      <c r="AR23" s="746" t="str">
        <f>U21</f>
        <v xml:space="preserve">Innleie av vikarer </v>
      </c>
      <c r="AS23" s="747"/>
      <c r="AT23" s="248"/>
      <c r="AU23" s="235"/>
      <c r="AW23" s="242"/>
      <c r="AX23" s="235"/>
      <c r="AY23" s="235" t="s">
        <v>135</v>
      </c>
      <c r="AZ23" s="239">
        <v>50</v>
      </c>
      <c r="BA23" s="249">
        <v>349.99990000000003</v>
      </c>
      <c r="BB23" s="239">
        <v>56</v>
      </c>
      <c r="BC23" s="235" t="str">
        <f>AR23</f>
        <v xml:space="preserve">Innleie av vikarer </v>
      </c>
      <c r="BD23" s="235"/>
      <c r="BE23" s="235"/>
      <c r="BF23" s="235"/>
      <c r="BG23" s="235"/>
      <c r="BH23" s="235"/>
      <c r="BI23" s="235"/>
      <c r="BJ23" s="235"/>
      <c r="BK23" s="235"/>
      <c r="BL23" s="235"/>
      <c r="BM23" s="242"/>
      <c r="BN23" s="235"/>
      <c r="BO23" s="235"/>
      <c r="BP23" s="243">
        <f>21+2/3</f>
        <v>21.666666666666668</v>
      </c>
      <c r="BQ23" s="235"/>
      <c r="BR23" s="739" t="s">
        <v>139</v>
      </c>
      <c r="BS23" s="740"/>
      <c r="BT23" s="740"/>
      <c r="BU23" s="740"/>
      <c r="BV23" s="741"/>
      <c r="BW23" s="235"/>
      <c r="BX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</row>
    <row r="24" spans="1:169" s="238" customFormat="1" ht="26.25" customHeight="1">
      <c r="A24" s="442"/>
      <c r="B24" s="319" t="str">
        <f>'I fjor'!B24</f>
        <v>Dag</v>
      </c>
      <c r="C24" s="320" t="str">
        <f>'I fjor'!C24</f>
        <v>Kveld</v>
      </c>
      <c r="D24" s="301" t="str">
        <f>'I fjor'!D24</f>
        <v>Langvakt</v>
      </c>
      <c r="E24" s="320" t="str">
        <f>'I fjor'!E24</f>
        <v>Natt</v>
      </c>
      <c r="F24" s="321" t="str">
        <f t="shared" ref="F24:Q24" si="0">B24</f>
        <v>Dag</v>
      </c>
      <c r="G24" s="320" t="str">
        <f t="shared" si="0"/>
        <v>Kveld</v>
      </c>
      <c r="H24" s="301" t="str">
        <f t="shared" si="0"/>
        <v>Langvakt</v>
      </c>
      <c r="I24" s="320" t="str">
        <f t="shared" si="0"/>
        <v>Natt</v>
      </c>
      <c r="J24" s="321" t="str">
        <f t="shared" si="0"/>
        <v>Dag</v>
      </c>
      <c r="K24" s="322" t="str">
        <f t="shared" si="0"/>
        <v>Kveld</v>
      </c>
      <c r="L24" s="301" t="str">
        <f t="shared" si="0"/>
        <v>Langvakt</v>
      </c>
      <c r="M24" s="320" t="str">
        <f t="shared" si="0"/>
        <v>Natt</v>
      </c>
      <c r="N24" s="321" t="str">
        <f t="shared" si="0"/>
        <v>Dag</v>
      </c>
      <c r="O24" s="322" t="str">
        <f t="shared" si="0"/>
        <v>Kveld</v>
      </c>
      <c r="P24" s="301" t="str">
        <f t="shared" si="0"/>
        <v>Langvakt</v>
      </c>
      <c r="Q24" s="320" t="str">
        <f t="shared" si="0"/>
        <v>Natt</v>
      </c>
      <c r="R24" s="750"/>
      <c r="S24" s="323">
        <f>'I fjor'!S24</f>
        <v>0.5</v>
      </c>
      <c r="T24" s="324" t="str">
        <f>'I fjor'!T24</f>
        <v>100 %</v>
      </c>
      <c r="U24" s="720" t="str">
        <f>'I fjor'!U24:V24</f>
        <v>Andel av fast</v>
      </c>
      <c r="V24" s="719"/>
      <c r="W24" s="750"/>
      <c r="X24" s="750"/>
      <c r="Y24" s="750"/>
      <c r="Z24" s="750"/>
      <c r="AA24" s="325" t="str">
        <f>'I fjor'!AA24</f>
        <v>Helår (1000 kr)</v>
      </c>
      <c r="AB24" s="250" t="s">
        <v>70</v>
      </c>
      <c r="AC24" s="250" t="s">
        <v>70</v>
      </c>
      <c r="AD24" s="250" t="s">
        <v>71</v>
      </c>
      <c r="AE24" s="250" t="s">
        <v>70</v>
      </c>
      <c r="AF24" s="250" t="s">
        <v>70</v>
      </c>
      <c r="AG24" s="250" t="s">
        <v>71</v>
      </c>
      <c r="AH24" s="251" t="s">
        <v>72</v>
      </c>
      <c r="AI24" s="252"/>
      <c r="AJ24" s="253" t="s">
        <v>73</v>
      </c>
      <c r="AK24" s="253" t="s">
        <v>149</v>
      </c>
      <c r="AL24" s="253" t="s">
        <v>74</v>
      </c>
      <c r="AM24" s="250" t="s">
        <v>75</v>
      </c>
      <c r="AN24" s="250" t="s">
        <v>76</v>
      </c>
      <c r="AO24" s="250" t="s">
        <v>77</v>
      </c>
      <c r="AP24" s="250" t="s">
        <v>17</v>
      </c>
      <c r="AQ24" s="253" t="s">
        <v>79</v>
      </c>
      <c r="AR24" s="254" t="str">
        <f>U22</f>
        <v>Ferie-avvikling</v>
      </c>
      <c r="AS24" s="255" t="str">
        <f>V22</f>
        <v>Annen bruk av vikarer</v>
      </c>
      <c r="AT24" s="253" t="s">
        <v>145</v>
      </c>
      <c r="AU24" s="253" t="s">
        <v>46</v>
      </c>
      <c r="AW24" s="256" t="s">
        <v>83</v>
      </c>
      <c r="AX24" s="253"/>
      <c r="AY24" s="250" t="s">
        <v>84</v>
      </c>
      <c r="AZ24" s="250" t="s">
        <v>85</v>
      </c>
      <c r="BA24" s="250" t="s">
        <v>86</v>
      </c>
      <c r="BB24" s="250" t="s">
        <v>87</v>
      </c>
      <c r="BC24" s="235" t="str">
        <f>AR24</f>
        <v>Ferie-avvikling</v>
      </c>
      <c r="BD24" s="235" t="str">
        <f>AS24</f>
        <v>Annen bruk av vikarer</v>
      </c>
      <c r="BE24" s="250" t="s">
        <v>91</v>
      </c>
      <c r="BF24" s="250" t="s">
        <v>92</v>
      </c>
      <c r="BG24" s="250" t="s">
        <v>93</v>
      </c>
      <c r="BH24" s="250" t="s">
        <v>46</v>
      </c>
      <c r="BI24" s="250" t="s">
        <v>94</v>
      </c>
      <c r="BJ24" s="250"/>
      <c r="BK24" s="250" t="s">
        <v>95</v>
      </c>
      <c r="BL24" s="250" t="s">
        <v>96</v>
      </c>
      <c r="BM24" s="256" t="s">
        <v>97</v>
      </c>
      <c r="BN24" s="253" t="s">
        <v>128</v>
      </c>
      <c r="BO24" s="253" t="s">
        <v>132</v>
      </c>
      <c r="BP24" s="253" t="s">
        <v>129</v>
      </c>
      <c r="BQ24" s="253" t="s">
        <v>130</v>
      </c>
      <c r="BR24" s="257">
        <v>0.5</v>
      </c>
      <c r="BS24" s="258">
        <v>0.75</v>
      </c>
      <c r="BT24" s="258">
        <v>1</v>
      </c>
      <c r="BU24" s="258">
        <v>1.33</v>
      </c>
      <c r="BV24" s="259">
        <v>2</v>
      </c>
      <c r="BW24" s="253" t="str">
        <f>BB24</f>
        <v>Nattillegg</v>
      </c>
      <c r="BX24" s="240" t="s">
        <v>131</v>
      </c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</row>
    <row r="25" spans="1:169" s="238" customFormat="1" ht="15.75">
      <c r="A25" s="443" t="str">
        <f>'I fjor'!A25</f>
        <v>I turnus</v>
      </c>
      <c r="B25" s="569">
        <f>'plan i år'!B25</f>
        <v>5.62</v>
      </c>
      <c r="C25" s="444">
        <f>'plan i år'!C25</f>
        <v>4</v>
      </c>
      <c r="D25" s="444">
        <f>'plan i år'!D25</f>
        <v>0</v>
      </c>
      <c r="E25" s="444">
        <f>'plan i år'!E25</f>
        <v>1</v>
      </c>
      <c r="F25" s="569">
        <f>'plan i år'!F25</f>
        <v>4</v>
      </c>
      <c r="G25" s="444">
        <f>'plan i år'!G25</f>
        <v>4</v>
      </c>
      <c r="H25" s="444">
        <f>'plan i år'!H25</f>
        <v>0</v>
      </c>
      <c r="I25" s="444">
        <f>'plan i år'!I25</f>
        <v>1</v>
      </c>
      <c r="J25" s="445">
        <f>'plan i år'!J25</f>
        <v>7.6</v>
      </c>
      <c r="K25" s="446">
        <f>'plan i år'!K25</f>
        <v>7.8</v>
      </c>
      <c r="L25" s="446">
        <f>'plan i år'!L25</f>
        <v>0</v>
      </c>
      <c r="M25" s="446">
        <f>'plan i år'!M25</f>
        <v>9.5</v>
      </c>
      <c r="N25" s="445">
        <f>'plan i år'!N25</f>
        <v>7.5</v>
      </c>
      <c r="O25" s="446">
        <f>'plan i år'!O25</f>
        <v>7.75</v>
      </c>
      <c r="P25" s="446">
        <f>'plan i år'!P25</f>
        <v>0</v>
      </c>
      <c r="Q25" s="446">
        <f>'plan i år'!Q25</f>
        <v>9.5</v>
      </c>
      <c r="R25" s="613">
        <f>+AP25</f>
        <v>15.719999999999999</v>
      </c>
      <c r="S25" s="447">
        <f>'plan i år'!S25</f>
        <v>10</v>
      </c>
      <c r="T25" s="448">
        <f>'plan i år'!T25</f>
        <v>21.5</v>
      </c>
      <c r="U25" s="449">
        <f>'plan i år'!U25</f>
        <v>0.11</v>
      </c>
      <c r="V25" s="449">
        <f>'plan i år'!V25</f>
        <v>0.05</v>
      </c>
      <c r="W25" s="450">
        <f>'plan i år'!W25</f>
        <v>430.44499999999999</v>
      </c>
      <c r="X25" s="451">
        <f>+AP25+Y25</f>
        <v>15.719999999999999</v>
      </c>
      <c r="Y25" s="452">
        <f>'plan i år'!Y25</f>
        <v>0</v>
      </c>
      <c r="Z25" s="453">
        <f>'plan i år'!Z25</f>
        <v>35.5</v>
      </c>
      <c r="AA25" s="573">
        <f>BH25</f>
        <v>13093</v>
      </c>
      <c r="AB25" s="260">
        <f>$AB$3*24</f>
        <v>5.25</v>
      </c>
      <c r="AC25" s="261">
        <f>AB25</f>
        <v>5.25</v>
      </c>
      <c r="AD25" s="262">
        <f>6+($AD$3*24)</f>
        <v>8</v>
      </c>
      <c r="AE25" s="260">
        <f>$AE$3*24</f>
        <v>5.25</v>
      </c>
      <c r="AF25" s="261">
        <f>AE25</f>
        <v>5.25</v>
      </c>
      <c r="AG25" s="262">
        <f>6+($AD$3*24)</f>
        <v>8</v>
      </c>
      <c r="AH25" s="261">
        <v>7.25</v>
      </c>
      <c r="AI25" s="263">
        <f>SUMPRODUCT(B25:E25,J25:M25)*5+ SUMPRODUCT(F25:I25,N25:Q25)*2</f>
        <v>558.05999999999995</v>
      </c>
      <c r="AJ25" s="263">
        <f>SUMPRODUCT(B25:E25,J25:M25)*5</f>
        <v>417.05999999999995</v>
      </c>
      <c r="AK25" s="263">
        <f>B25*J25*5</f>
        <v>213.55999999999997</v>
      </c>
      <c r="AL25" s="263">
        <f>+SUMPRODUCT(F25:I25*N25:Q25)*2</f>
        <v>141</v>
      </c>
      <c r="AM25" s="264">
        <f>((C25*AB25)+(D25*AC25)+(E25*AD25))*5+((G25*AE25)+(H25*AF25)+(I25*AG25))*2</f>
        <v>203</v>
      </c>
      <c r="AN25" s="265">
        <f>SUMPRODUCT(F25:I25,N25:Q25)*2</f>
        <v>141</v>
      </c>
      <c r="AO25" s="264">
        <f>((H25*P25)+(I25*Q25)+(G25*O25)+(F25*N25))*$AO$22</f>
        <v>1022.25</v>
      </c>
      <c r="AP25" s="266">
        <f>AI25/Z25</f>
        <v>15.719999999999999</v>
      </c>
      <c r="AQ25" s="267">
        <f>+AI25</f>
        <v>558.05999999999995</v>
      </c>
      <c r="AR25" s="264">
        <f>+U25*$AQ25</f>
        <v>61.386599999999994</v>
      </c>
      <c r="AS25" s="264">
        <f>+V25*$AQ25</f>
        <v>27.902999999999999</v>
      </c>
      <c r="AT25" s="268">
        <f>SUM(S25:T25)</f>
        <v>31.5</v>
      </c>
      <c r="AU25" s="269">
        <f>SUM(AQ25:AT25)</f>
        <v>678.84960000000001</v>
      </c>
      <c r="AW25" s="242"/>
      <c r="AX25" s="235" t="str">
        <f>A25</f>
        <v>I turnus</v>
      </c>
      <c r="AY25" s="270">
        <f>TRUNC(BN25*X25/1000)</f>
        <v>6766</v>
      </c>
      <c r="AZ25" s="264">
        <f>TRUNC($AZ$22*AN25*$AZ$23*(1+$Z$15))/1000</f>
        <v>366.6</v>
      </c>
      <c r="BA25" s="264">
        <f>TRUNC(AO25*BX25*(1-$Z$17)/1000)</f>
        <v>317</v>
      </c>
      <c r="BB25" s="264">
        <f>TRUNC(AM25*$AZ$22*BW25*(1+$Z$16))/1000</f>
        <v>591.13599999999997</v>
      </c>
      <c r="BC25" s="264">
        <f>TRUNC((SUM(AY25:BB25)+SUM(BE25:BE25))*V25)</f>
        <v>437</v>
      </c>
      <c r="BD25" s="264">
        <f>TRUNC((SUM(AY25:BB25)+SUM(BE25:BE25))*U25)</f>
        <v>961</v>
      </c>
      <c r="BE25" s="264">
        <f>TRUNC($AZ$22*((S25*BR25)+(T25*BT25))/1000)</f>
        <v>701</v>
      </c>
      <c r="BF25" s="264">
        <f>(AY25+AZ25+BB25)*$M$16</f>
        <v>1699.2219200000002</v>
      </c>
      <c r="BG25" s="264">
        <f>SUM(AY25:BF25)*$M$15</f>
        <v>1254.9295395199999</v>
      </c>
      <c r="BH25" s="264">
        <f>TRUNC(SUM(AY25:BG25))</f>
        <v>13093</v>
      </c>
      <c r="BI25" s="264">
        <f>+AY25+AZ25+BB25+BA25</f>
        <v>8040.7360000000008</v>
      </c>
      <c r="BJ25" s="264"/>
      <c r="BK25" s="264">
        <f>+BH25-BI25-BL25</f>
        <v>2098.1125404799991</v>
      </c>
      <c r="BL25" s="271">
        <f>+BF25+BG25</f>
        <v>2954.1514595200001</v>
      </c>
      <c r="BM25" s="237">
        <f>W25</f>
        <v>430.44499999999999</v>
      </c>
      <c r="BN25" s="272">
        <f>W25*1000</f>
        <v>430445</v>
      </c>
      <c r="BO25" s="269">
        <f>BN25/12</f>
        <v>35870.416666666664</v>
      </c>
      <c r="BP25" s="272">
        <f>BO25/$BP$23</f>
        <v>1655.5576923076922</v>
      </c>
      <c r="BQ25" s="272">
        <f>BP25/Z25*5</f>
        <v>233.1771397616468</v>
      </c>
      <c r="BR25" s="273">
        <f>$BN25/$BS$22*(1+$BR$24)</f>
        <v>349.00945945945949</v>
      </c>
      <c r="BS25" s="267">
        <f>$BN25/$BS$22*(1+$BS$24)</f>
        <v>407.17770270270273</v>
      </c>
      <c r="BT25" s="267">
        <f>$BN25/$BS$22*(1+$BT$24)</f>
        <v>465.34594594594597</v>
      </c>
      <c r="BU25" s="267">
        <f>$BN25/$BS$22*(1+$BU$24)</f>
        <v>542.12802702702709</v>
      </c>
      <c r="BV25" s="274">
        <f>$BN25/$BS$22*(1+$BV$24)</f>
        <v>698.01891891891898</v>
      </c>
      <c r="BW25" s="274">
        <f>+IF(W25&lt;$BA$22,$BB$21,IF(W25&gt;$BA$23,$BB$23,$BB$22))</f>
        <v>56</v>
      </c>
      <c r="BX25" s="272">
        <f>$BY$21*BQ25</f>
        <v>310.12559588299024</v>
      </c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</row>
    <row r="26" spans="1:169" s="284" customFormat="1" ht="15.75">
      <c r="A26" s="254" t="str">
        <f>'I fjor'!A26</f>
        <v>Alle andre</v>
      </c>
      <c r="B26" s="455">
        <f>'plan i år'!B26</f>
        <v>0.9</v>
      </c>
      <c r="C26" s="454">
        <f>'plan i år'!C26</f>
        <v>0</v>
      </c>
      <c r="D26" s="454">
        <f>'plan i år'!D26</f>
        <v>0</v>
      </c>
      <c r="E26" s="454">
        <f>'plan i år'!E26</f>
        <v>0</v>
      </c>
      <c r="F26" s="455">
        <f>'plan i år'!F26</f>
        <v>0</v>
      </c>
      <c r="G26" s="454">
        <f>'plan i år'!G26</f>
        <v>0</v>
      </c>
      <c r="H26" s="454">
        <f>'plan i år'!H26</f>
        <v>0</v>
      </c>
      <c r="I26" s="454">
        <f>'plan i år'!I26</f>
        <v>0</v>
      </c>
      <c r="J26" s="456">
        <f>'plan i år'!J26</f>
        <v>7.5</v>
      </c>
      <c r="K26" s="457">
        <f>'plan i år'!K26</f>
        <v>0</v>
      </c>
      <c r="L26" s="457">
        <f>'plan i år'!L26</f>
        <v>0</v>
      </c>
      <c r="M26" s="457">
        <f>'plan i år'!M26</f>
        <v>0</v>
      </c>
      <c r="N26" s="456">
        <f>'plan i år'!N26</f>
        <v>0</v>
      </c>
      <c r="O26" s="457">
        <f>'plan i år'!O26</f>
        <v>0</v>
      </c>
      <c r="P26" s="457">
        <f>'plan i år'!P26</f>
        <v>0</v>
      </c>
      <c r="Q26" s="457">
        <f>'plan i år'!Q26</f>
        <v>0</v>
      </c>
      <c r="R26" s="614">
        <f>+AP26</f>
        <v>0.9</v>
      </c>
      <c r="S26" s="458">
        <f>'plan i år'!S26</f>
        <v>0</v>
      </c>
      <c r="T26" s="459">
        <f>'plan i år'!T26</f>
        <v>0</v>
      </c>
      <c r="U26" s="460">
        <f>'plan i år'!U26</f>
        <v>0</v>
      </c>
      <c r="V26" s="460">
        <f>'plan i år'!V26</f>
        <v>0</v>
      </c>
      <c r="W26" s="450">
        <f>'plan i år'!W26</f>
        <v>570</v>
      </c>
      <c r="X26" s="461">
        <f>+AP26</f>
        <v>0.9</v>
      </c>
      <c r="Y26" s="462">
        <f>'plan i år'!Y26</f>
        <v>0</v>
      </c>
      <c r="Z26" s="463">
        <f>'plan i år'!Z26</f>
        <v>37.5</v>
      </c>
      <c r="AA26" s="574">
        <f>BH26</f>
        <v>692</v>
      </c>
      <c r="AB26" s="275">
        <f>AB25</f>
        <v>5.25</v>
      </c>
      <c r="AC26" s="275">
        <f>AC25</f>
        <v>5.25</v>
      </c>
      <c r="AD26" s="276">
        <f>6+($AD$3*24)</f>
        <v>8</v>
      </c>
      <c r="AE26" s="275">
        <f>AE25</f>
        <v>5.25</v>
      </c>
      <c r="AF26" s="275">
        <f>AF25</f>
        <v>5.25</v>
      </c>
      <c r="AG26" s="276">
        <f>6+($AD$3*24)</f>
        <v>8</v>
      </c>
      <c r="AH26" s="275"/>
      <c r="AI26" s="277">
        <f>SUMPRODUCT(B26:E26,J26:M26)*5+ SUMPRODUCT(F26:I26,N26:Q26)*2</f>
        <v>33.75</v>
      </c>
      <c r="AJ26" s="277">
        <f>SUMPRODUCT(B26:E26,J26:M26)*5</f>
        <v>33.75</v>
      </c>
      <c r="AK26" s="277">
        <f>B26*J26*5</f>
        <v>33.75</v>
      </c>
      <c r="AL26" s="277">
        <f>+SUMPRODUCT(F26:I26*N26:Q26)*2</f>
        <v>0</v>
      </c>
      <c r="AM26" s="278">
        <f>((C26*AB26)+(D26*AC26)+(E26*AD26))*5+((G26*AE26)+(H26*AF26)+(I26*AG26))*2</f>
        <v>0</v>
      </c>
      <c r="AN26" s="279">
        <f>SUMPRODUCT(F26:I26,N26:Q26)*2</f>
        <v>0</v>
      </c>
      <c r="AO26" s="278">
        <f>((H26*P26)+(I26*Q26)+(G26*O26)+(F26*N26))*$AO$22</f>
        <v>0</v>
      </c>
      <c r="AP26" s="280">
        <f>AI26/Z26</f>
        <v>0.9</v>
      </c>
      <c r="AQ26" s="281">
        <f>+AI26</f>
        <v>33.75</v>
      </c>
      <c r="AR26" s="278">
        <f>+U26*$AQ26</f>
        <v>0</v>
      </c>
      <c r="AS26" s="278">
        <f>+V26*$AQ26</f>
        <v>0</v>
      </c>
      <c r="AT26" s="282">
        <f>SUM(S26:T26)</f>
        <v>0</v>
      </c>
      <c r="AU26" s="283">
        <f>SUM(AQ26:AT26)</f>
        <v>33.75</v>
      </c>
      <c r="AW26" s="252"/>
      <c r="AX26" s="253" t="str">
        <f>A26</f>
        <v>Alle andre</v>
      </c>
      <c r="AY26" s="285">
        <f>TRUNC(BN26*X26/1000)</f>
        <v>513</v>
      </c>
      <c r="AZ26" s="278">
        <f>TRUNC($AZ$22*AN26*$AZ$23*(1+$Z$15))/1000</f>
        <v>0</v>
      </c>
      <c r="BA26" s="278">
        <f>TRUNC(AO26*BX26*(1-$Z$17)/1000)</f>
        <v>0</v>
      </c>
      <c r="BB26" s="278">
        <f>TRUNC(AM26*$AZ$22*BW26*(1+$Z$16))/1000</f>
        <v>0</v>
      </c>
      <c r="BC26" s="278">
        <f>TRUNC((SUM(AY26:BB26)+SUM(BE26:BE26))*V26)</f>
        <v>0</v>
      </c>
      <c r="BD26" s="278">
        <f>TRUNC((SUM(AY26:BB26)+SUM(BE26:BE26))*U26)</f>
        <v>0</v>
      </c>
      <c r="BE26" s="278">
        <f>TRUNC($AZ$22*((S26*BR26)+(T26*BT26))/1000)</f>
        <v>0</v>
      </c>
      <c r="BF26" s="278">
        <f>+AY26*$M$16</f>
        <v>112.86</v>
      </c>
      <c r="BG26" s="278">
        <f>SUM(AY26:BF26)*$M$15</f>
        <v>66.341160000000002</v>
      </c>
      <c r="BH26" s="278">
        <f>TRUNC(SUM(AY26:BG26))</f>
        <v>692</v>
      </c>
      <c r="BI26" s="278">
        <f>+AY26+AZ26+BB26+BA26</f>
        <v>513</v>
      </c>
      <c r="BJ26" s="278"/>
      <c r="BK26" s="278">
        <f>+BH26-BI26-BL26</f>
        <v>-0.20116000000001577</v>
      </c>
      <c r="BL26" s="286">
        <f>+BF26+BG26</f>
        <v>179.20116000000002</v>
      </c>
      <c r="BM26" s="253">
        <f>W26</f>
        <v>570</v>
      </c>
      <c r="BN26" s="272">
        <f>W26*1000</f>
        <v>570000</v>
      </c>
      <c r="BO26" s="283">
        <f>BN26/12</f>
        <v>47500</v>
      </c>
      <c r="BP26" s="272">
        <f>BO26/$BP$23</f>
        <v>2192.3076923076924</v>
      </c>
      <c r="BQ26" s="272">
        <f>BP26/Z26*5</f>
        <v>292.30769230769232</v>
      </c>
      <c r="BR26" s="287">
        <f>$BN26/$BS$22*(1+$BR$24)</f>
        <v>462.16216216216219</v>
      </c>
      <c r="BS26" s="281">
        <f>$BN26/$BS$22*(1+$BS$24)</f>
        <v>539.18918918918916</v>
      </c>
      <c r="BT26" s="281">
        <f>$BN26/$BS$22*(1+$BT$24)</f>
        <v>616.21621621621625</v>
      </c>
      <c r="BU26" s="281">
        <f>$BN26/$BS$22*(1+$BU$24)</f>
        <v>717.89189189189199</v>
      </c>
      <c r="BV26" s="288">
        <f>$BN26/$BS$22*(1+$BV$24)</f>
        <v>924.32432432432438</v>
      </c>
      <c r="BW26" s="288">
        <f>+IF(W26&lt;$BA$22,$BB$21,IF(W26&gt;$BA$23,$BB$23,$BB$22))</f>
        <v>56</v>
      </c>
      <c r="BX26" s="272">
        <f>$BY$21*BQ26</f>
        <v>388.76923076923083</v>
      </c>
      <c r="CC26" s="253"/>
      <c r="CD26" s="253"/>
      <c r="CE26" s="253"/>
      <c r="CF26" s="253"/>
      <c r="CG26" s="253"/>
      <c r="CH26" s="253"/>
      <c r="CI26" s="253"/>
      <c r="CJ26" s="253"/>
      <c r="CK26" s="253"/>
      <c r="CL26" s="253"/>
      <c r="CM26" s="253"/>
      <c r="CN26" s="253"/>
      <c r="CO26" s="253"/>
      <c r="CP26" s="253"/>
      <c r="CQ26" s="253"/>
      <c r="CR26" s="253"/>
      <c r="CS26" s="253"/>
      <c r="CT26" s="253"/>
      <c r="CU26" s="253"/>
      <c r="CV26" s="253"/>
      <c r="CW26" s="253"/>
      <c r="CX26" s="253"/>
      <c r="CY26" s="253"/>
      <c r="CZ26" s="253"/>
      <c r="DA26" s="253"/>
      <c r="DB26" s="253"/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3"/>
      <c r="DO26" s="253"/>
      <c r="DP26" s="253"/>
      <c r="DQ26" s="253"/>
      <c r="DR26" s="253"/>
      <c r="DS26" s="253"/>
      <c r="DT26" s="253"/>
      <c r="DU26" s="253"/>
      <c r="DV26" s="253"/>
      <c r="DW26" s="253"/>
      <c r="DX26" s="253"/>
      <c r="DY26" s="253"/>
      <c r="DZ26" s="253"/>
      <c r="EA26" s="253"/>
      <c r="EB26" s="253"/>
      <c r="EC26" s="253"/>
      <c r="ED26" s="253"/>
      <c r="EE26" s="253"/>
      <c r="EF26" s="253"/>
      <c r="EG26" s="253"/>
      <c r="EH26" s="253"/>
      <c r="EI26" s="253"/>
      <c r="EJ26" s="253"/>
      <c r="EK26" s="253"/>
      <c r="EL26" s="253"/>
      <c r="EM26" s="253"/>
      <c r="EN26" s="253"/>
      <c r="EO26" s="253"/>
      <c r="EP26" s="253"/>
      <c r="EQ26" s="253"/>
      <c r="ER26" s="253"/>
      <c r="ES26" s="253"/>
      <c r="ET26" s="253"/>
      <c r="EU26" s="253"/>
      <c r="EV26" s="253"/>
      <c r="EW26" s="253"/>
      <c r="EX26" s="253"/>
      <c r="EY26" s="253"/>
      <c r="EZ26" s="253"/>
      <c r="FA26" s="253"/>
      <c r="FB26" s="253"/>
      <c r="FC26" s="253"/>
      <c r="FD26" s="253"/>
      <c r="FE26" s="253"/>
      <c r="FF26" s="253"/>
      <c r="FG26" s="253"/>
      <c r="FH26" s="253"/>
      <c r="FI26" s="253"/>
      <c r="FJ26" s="253"/>
      <c r="FK26" s="253"/>
    </row>
    <row r="27" spans="1:169" s="234" customFormat="1" ht="15.75">
      <c r="A27" s="780" t="str">
        <f>'I fjor'!A27:AA27</f>
        <v>Beregnede utgifter sammenliknes med regnskapstall, sykefravær og antall vakter som må ringes etter, antall nytilsettinger.</v>
      </c>
      <c r="B27" s="781"/>
      <c r="C27" s="781"/>
      <c r="D27" s="781"/>
      <c r="E27" s="781"/>
      <c r="F27" s="781"/>
      <c r="G27" s="781"/>
      <c r="H27" s="781"/>
      <c r="I27" s="781"/>
      <c r="J27" s="781"/>
      <c r="K27" s="781"/>
      <c r="L27" s="781"/>
      <c r="M27" s="781"/>
      <c r="N27" s="781"/>
      <c r="O27" s="781"/>
      <c r="P27" s="781"/>
      <c r="Q27" s="781"/>
      <c r="R27" s="781"/>
      <c r="S27" s="781"/>
      <c r="T27" s="781"/>
      <c r="U27" s="781"/>
      <c r="V27" s="781"/>
      <c r="W27" s="781"/>
      <c r="X27" s="781"/>
      <c r="Y27" s="781"/>
      <c r="Z27" s="781"/>
      <c r="AA27" s="782"/>
      <c r="AB27" s="260"/>
      <c r="AC27" s="260"/>
      <c r="AD27" s="260"/>
      <c r="AE27" s="260"/>
      <c r="AF27" s="260"/>
      <c r="AG27" s="260"/>
      <c r="AH27" s="260"/>
      <c r="AI27" s="289"/>
      <c r="AJ27" s="289"/>
      <c r="AK27" s="289"/>
      <c r="AL27" s="289"/>
      <c r="AM27" s="290"/>
      <c r="AN27" s="231"/>
      <c r="AO27" s="290"/>
      <c r="AP27" s="291"/>
      <c r="AQ27" s="292"/>
      <c r="AR27" s="290"/>
      <c r="AS27" s="290"/>
      <c r="AT27" s="293"/>
      <c r="AU27" s="292"/>
      <c r="AW27" s="237"/>
      <c r="AX27" s="237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37"/>
      <c r="BN27" s="272"/>
      <c r="BO27" s="292"/>
      <c r="BP27" s="272"/>
      <c r="BQ27" s="272"/>
      <c r="BR27" s="292"/>
      <c r="BS27" s="292"/>
      <c r="BT27" s="292"/>
      <c r="BU27" s="292"/>
      <c r="BV27" s="292"/>
      <c r="BW27" s="292"/>
      <c r="BX27" s="272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7"/>
      <c r="EL27" s="237"/>
      <c r="EM27" s="237"/>
      <c r="EN27" s="237"/>
      <c r="EO27" s="237"/>
      <c r="EP27" s="237"/>
      <c r="EQ27" s="237"/>
      <c r="ER27" s="237"/>
      <c r="ES27" s="237"/>
      <c r="ET27" s="237"/>
      <c r="EU27" s="237"/>
      <c r="EV27" s="237"/>
      <c r="EW27" s="237"/>
      <c r="EX27" s="237"/>
      <c r="EY27" s="237"/>
      <c r="EZ27" s="237"/>
      <c r="FA27" s="237"/>
      <c r="FB27" s="237"/>
      <c r="FC27" s="237"/>
      <c r="FD27" s="237"/>
      <c r="FE27" s="237"/>
      <c r="FF27" s="237"/>
      <c r="FG27" s="237"/>
      <c r="FH27" s="237"/>
      <c r="FI27" s="237"/>
      <c r="FJ27" s="237"/>
      <c r="FK27" s="237"/>
    </row>
    <row r="28" spans="1:169" s="234" customFormat="1" ht="114.75" customHeight="1">
      <c r="A28" s="641" t="s">
        <v>237</v>
      </c>
      <c r="B28" s="643"/>
      <c r="C28" s="428" t="str">
        <f>'I fjor'!C28</f>
        <v>Grunn-lønn faste stillinger</v>
      </c>
      <c r="D28" s="428" t="str">
        <f>'I fjor'!D28</f>
        <v>Lør- og søn-dags-tillegg</v>
      </c>
      <c r="E28" s="428" t="str">
        <f>'I fjor'!E28</f>
        <v>Hellig-dags-tillegg</v>
      </c>
      <c r="F28" s="428" t="str">
        <f>'I fjor'!F28</f>
        <v>Natt-tillegg</v>
      </c>
      <c r="G28" s="428" t="str">
        <f>'I fjor'!G28</f>
        <v>Innleie av vikarer (utover ref folketrygd og eks ferieavvikling )</v>
      </c>
      <c r="H28" s="428" t="str">
        <f>'I fjor'!H28</f>
        <v>Innleie av vikarer til ferie-avvik-ling</v>
      </c>
      <c r="I28" s="428" t="str">
        <f>'I fjor'!I28</f>
        <v>Overtid</v>
      </c>
      <c r="J28" s="428" t="str">
        <f>'I fjor'!J28</f>
        <v>Pen-sjons-premie</v>
      </c>
      <c r="K28" s="428" t="str">
        <f>'I fjor'!K28</f>
        <v>Arbeids-giver-avgift</v>
      </c>
      <c r="L28" s="429" t="str">
        <f>'I fjor'!L28</f>
        <v>Totalt</v>
      </c>
      <c r="M28" s="869"/>
      <c r="N28" s="792" t="s">
        <v>167</v>
      </c>
      <c r="O28" s="793"/>
      <c r="P28" s="794"/>
      <c r="Q28" s="465" t="str">
        <f>'I fjor'!Q28</f>
        <v>Andel innleide ved korttids-fravær</v>
      </c>
      <c r="T28" s="792" t="str">
        <f>'I fjor'!T28:V28</f>
        <v>Indikator for arbeid vedr å ringe etter vakter</v>
      </c>
      <c r="U28" s="793"/>
      <c r="V28" s="794"/>
      <c r="W28" s="872" t="str">
        <f>'I fjor'!W28:X28</f>
        <v>Totalt antall vakter  leid inn (hentet fra turnussystem)</v>
      </c>
      <c r="X28" s="873"/>
      <c r="Y28" s="466"/>
      <c r="Z28" s="792" t="str">
        <f>'I fjor'!Z28:AA28</f>
        <v>Nytilsettinger</v>
      </c>
      <c r="AA28" s="794"/>
      <c r="AB28" s="294"/>
      <c r="AC28" s="260" t="s">
        <v>170</v>
      </c>
      <c r="AD28" s="260" t="s">
        <v>171</v>
      </c>
      <c r="AE28" s="260"/>
      <c r="AF28" s="260"/>
      <c r="AG28" s="260"/>
      <c r="AH28" s="260"/>
      <c r="AI28" s="260"/>
      <c r="AJ28" s="289"/>
      <c r="AK28" s="289"/>
      <c r="AL28" s="289"/>
      <c r="AM28" s="289"/>
      <c r="AN28" s="290"/>
      <c r="AO28" s="231"/>
      <c r="AP28" s="290"/>
      <c r="AQ28" s="291"/>
      <c r="AR28" s="292"/>
      <c r="AS28" s="290"/>
      <c r="AT28" s="290"/>
      <c r="AU28" s="293"/>
      <c r="AV28" s="292"/>
      <c r="AX28" s="237"/>
      <c r="AY28" s="237"/>
      <c r="AZ28" s="290"/>
      <c r="BA28" s="290"/>
      <c r="BB28" s="290"/>
      <c r="BC28" s="290"/>
      <c r="BD28" s="290"/>
      <c r="BE28" s="290"/>
      <c r="BF28" s="290"/>
      <c r="BG28" s="290"/>
      <c r="BH28" s="290"/>
      <c r="BI28" s="290"/>
      <c r="BJ28" s="290"/>
      <c r="BK28" s="290"/>
      <c r="BL28" s="290"/>
      <c r="BM28" s="290"/>
      <c r="BN28" s="237"/>
      <c r="BO28" s="272"/>
      <c r="BP28" s="292"/>
      <c r="BQ28" s="272"/>
      <c r="BR28" s="272"/>
      <c r="BS28" s="292"/>
      <c r="BT28" s="292"/>
      <c r="BU28" s="292"/>
      <c r="BV28" s="292"/>
      <c r="BW28" s="292"/>
      <c r="BX28" s="292"/>
      <c r="BY28" s="272"/>
      <c r="CD28" s="237"/>
      <c r="CE28" s="237"/>
      <c r="CF28" s="237"/>
      <c r="CG28" s="237"/>
      <c r="CH28" s="237"/>
      <c r="CI28" s="237"/>
      <c r="CJ28" s="237"/>
      <c r="CK28" s="237"/>
      <c r="CL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7"/>
      <c r="EL28" s="237"/>
      <c r="EM28" s="237"/>
      <c r="EN28" s="237"/>
      <c r="EO28" s="237"/>
      <c r="EP28" s="237"/>
      <c r="EQ28" s="237"/>
      <c r="ER28" s="237"/>
      <c r="ES28" s="237"/>
      <c r="ET28" s="237"/>
      <c r="EU28" s="237"/>
      <c r="EV28" s="237"/>
      <c r="EW28" s="237"/>
      <c r="EX28" s="237"/>
      <c r="EY28" s="237"/>
      <c r="EZ28" s="237"/>
      <c r="FA28" s="237"/>
      <c r="FB28" s="237"/>
      <c r="FC28" s="237"/>
      <c r="FD28" s="237"/>
      <c r="FE28" s="237"/>
      <c r="FF28" s="237"/>
      <c r="FG28" s="237"/>
      <c r="FH28" s="237"/>
      <c r="FI28" s="237"/>
      <c r="FJ28" s="237"/>
      <c r="FK28" s="237"/>
      <c r="FL28" s="237"/>
    </row>
    <row r="29" spans="1:169" s="234" customFormat="1" ht="15.75">
      <c r="A29" s="851" t="str">
        <f>'I fjor'!A29:B29</f>
        <v>Beregnet</v>
      </c>
      <c r="B29" s="852"/>
      <c r="C29" s="575">
        <f t="shared" ref="C29:L29" si="1">+AY25+AY26</f>
        <v>7279</v>
      </c>
      <c r="D29" s="576">
        <f t="shared" si="1"/>
        <v>366.6</v>
      </c>
      <c r="E29" s="576">
        <f t="shared" si="1"/>
        <v>317</v>
      </c>
      <c r="F29" s="576">
        <f t="shared" si="1"/>
        <v>591.13599999999997</v>
      </c>
      <c r="G29" s="576">
        <f t="shared" si="1"/>
        <v>437</v>
      </c>
      <c r="H29" s="576">
        <f t="shared" si="1"/>
        <v>961</v>
      </c>
      <c r="I29" s="576">
        <f t="shared" si="1"/>
        <v>701</v>
      </c>
      <c r="J29" s="576">
        <f t="shared" si="1"/>
        <v>1812.0819200000001</v>
      </c>
      <c r="K29" s="577">
        <f t="shared" si="1"/>
        <v>1321.2706995199999</v>
      </c>
      <c r="L29" s="578">
        <f t="shared" si="1"/>
        <v>13785</v>
      </c>
      <c r="M29" s="870"/>
      <c r="N29" s="848" t="str">
        <f>'I fjor'!N29:O29</f>
        <v>Langtidsfravær</v>
      </c>
      <c r="O29" s="849"/>
      <c r="P29" s="468">
        <f>'plan i år'!P29</f>
        <v>0.16500000000000001</v>
      </c>
      <c r="Q29" s="469"/>
      <c r="T29" s="848" t="s">
        <v>50</v>
      </c>
      <c r="U29" s="849"/>
      <c r="V29" s="850"/>
      <c r="W29" s="874">
        <f>'plan i år'!W29</f>
        <v>937.5</v>
      </c>
      <c r="X29" s="875">
        <f>'plan i år'!X29</f>
        <v>0</v>
      </c>
      <c r="Y29" s="295"/>
      <c r="Z29" s="470" t="str">
        <f>'I fjor'!Z29</f>
        <v xml:space="preserve">Antall </v>
      </c>
      <c r="AA29" s="471">
        <f>'plan i år'!AA29</f>
        <v>2</v>
      </c>
      <c r="AB29" s="294"/>
      <c r="AC29" s="296">
        <v>47</v>
      </c>
      <c r="AD29" s="296">
        <v>47</v>
      </c>
      <c r="AE29" s="260">
        <f>+Z25*47</f>
        <v>1668.5</v>
      </c>
      <c r="AF29" s="260"/>
      <c r="AG29" s="260"/>
      <c r="AH29" s="260"/>
      <c r="AI29" s="260"/>
      <c r="AJ29" s="289"/>
      <c r="AK29" s="289"/>
      <c r="AL29" s="289"/>
      <c r="AM29" s="289"/>
      <c r="AN29" s="290"/>
      <c r="AO29" s="231"/>
      <c r="AP29" s="290"/>
      <c r="AQ29" s="291"/>
      <c r="AR29" s="292"/>
      <c r="AS29" s="290"/>
      <c r="AT29" s="290"/>
      <c r="AU29" s="293"/>
      <c r="AV29" s="292"/>
      <c r="AX29" s="237"/>
      <c r="AY29" s="237"/>
      <c r="AZ29" s="290"/>
      <c r="BA29" s="290"/>
      <c r="BB29" s="290"/>
      <c r="BC29" s="290"/>
      <c r="BD29" s="290"/>
      <c r="BE29" s="290"/>
      <c r="BF29" s="290"/>
      <c r="BG29" s="290"/>
      <c r="BH29" s="290"/>
      <c r="BI29" s="290"/>
      <c r="BJ29" s="290"/>
      <c r="BK29" s="290"/>
      <c r="BL29" s="290"/>
      <c r="BM29" s="290"/>
      <c r="BN29" s="237"/>
      <c r="BO29" s="272"/>
      <c r="BP29" s="292"/>
      <c r="BQ29" s="272"/>
      <c r="BR29" s="272"/>
      <c r="BS29" s="292"/>
      <c r="BT29" s="292"/>
      <c r="BU29" s="292"/>
      <c r="BV29" s="292"/>
      <c r="BW29" s="292"/>
      <c r="BX29" s="292"/>
      <c r="BY29" s="272"/>
      <c r="CD29" s="237"/>
      <c r="CE29" s="237"/>
      <c r="CF29" s="237"/>
      <c r="CG29" s="237"/>
      <c r="CH29" s="237"/>
      <c r="CI29" s="237"/>
      <c r="CJ29" s="237"/>
      <c r="CK29" s="237"/>
      <c r="CL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7"/>
      <c r="EL29" s="237"/>
      <c r="EM29" s="237"/>
      <c r="EN29" s="237"/>
      <c r="EO29" s="237"/>
      <c r="EP29" s="237"/>
      <c r="EQ29" s="237"/>
      <c r="ER29" s="237"/>
      <c r="ES29" s="237"/>
      <c r="ET29" s="237"/>
      <c r="EU29" s="237"/>
      <c r="EV29" s="237"/>
      <c r="EW29" s="237"/>
      <c r="EX29" s="237"/>
      <c r="EY29" s="237"/>
      <c r="EZ29" s="237"/>
      <c r="FA29" s="237"/>
      <c r="FB29" s="237"/>
      <c r="FC29" s="237"/>
      <c r="FD29" s="237"/>
      <c r="FE29" s="237"/>
      <c r="FF29" s="237"/>
      <c r="FG29" s="237"/>
      <c r="FH29" s="237"/>
      <c r="FI29" s="237"/>
      <c r="FJ29" s="237"/>
      <c r="FK29" s="237"/>
      <c r="FL29" s="237"/>
    </row>
    <row r="30" spans="1:169" s="234" customFormat="1" ht="15.75">
      <c r="A30" s="851" t="str">
        <f>'plan i år'!A30:B30</f>
        <v>Budsjettall</v>
      </c>
      <c r="B30" s="852"/>
      <c r="C30" s="579"/>
      <c r="D30" s="579"/>
      <c r="E30" s="579"/>
      <c r="F30" s="579"/>
      <c r="G30" s="579"/>
      <c r="H30" s="579"/>
      <c r="I30" s="579"/>
      <c r="J30" s="579"/>
      <c r="K30" s="579"/>
      <c r="L30" s="580">
        <f>'plan i år'!L30</f>
        <v>13800</v>
      </c>
      <c r="M30" s="871"/>
      <c r="N30" s="853" t="str">
        <f>'I fjor'!N30:O30</f>
        <v>Korttidsfravær</v>
      </c>
      <c r="O30" s="854"/>
      <c r="P30" s="472">
        <f>'plan i år'!P30</f>
        <v>4.7E-2</v>
      </c>
      <c r="Q30" s="473">
        <f>'plan i år'!Q30</f>
        <v>0.8</v>
      </c>
      <c r="T30" s="829" t="str">
        <f>'I fjor'!T30:V30</f>
        <v>Andel  av faste vakter</v>
      </c>
      <c r="U30" s="830"/>
      <c r="V30" s="831"/>
      <c r="W30" s="846">
        <f>W29/CM30</f>
        <v>0.28054582996678334</v>
      </c>
      <c r="X30" s="847"/>
      <c r="Y30" s="474"/>
      <c r="Z30" s="475" t="str">
        <f>'I fjor'!Z30</f>
        <v>Andel</v>
      </c>
      <c r="AA30" s="476">
        <f>AA29/F44</f>
        <v>6.8965517241379309E-2</v>
      </c>
      <c r="AB30" s="294"/>
      <c r="AC30" s="297">
        <f>SUM(F25:I25)*($AC$29)+SUM(B25:E25)*$AD$29</f>
        <v>922.1400000000001</v>
      </c>
      <c r="AD30" s="297">
        <f>AJ25*AD29+AC29*AL25</f>
        <v>26228.819999999996</v>
      </c>
      <c r="AE30" s="293">
        <f>X25</f>
        <v>15.719999999999999</v>
      </c>
      <c r="AF30" s="260"/>
      <c r="AG30" s="260"/>
      <c r="AH30" s="260"/>
      <c r="AI30" s="260"/>
      <c r="AJ30" s="289"/>
      <c r="AK30" s="289"/>
      <c r="AL30" s="289"/>
      <c r="AM30" s="289"/>
      <c r="AN30" s="290"/>
      <c r="AO30" s="231"/>
      <c r="AP30" s="290"/>
      <c r="AQ30" s="291"/>
      <c r="AR30" s="292"/>
      <c r="AS30" s="290"/>
      <c r="AT30" s="290"/>
      <c r="AU30" s="293"/>
      <c r="AV30" s="292"/>
      <c r="AX30" s="237"/>
      <c r="AY30" s="237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37"/>
      <c r="BO30" s="272"/>
      <c r="BP30" s="292"/>
      <c r="BQ30" s="272"/>
      <c r="BR30" s="272"/>
      <c r="BS30" s="292"/>
      <c r="BT30" s="292"/>
      <c r="BU30" s="292"/>
      <c r="BV30" s="292"/>
      <c r="BW30" s="292"/>
      <c r="BX30" s="292"/>
      <c r="BY30" s="272"/>
      <c r="CF30" s="237"/>
      <c r="CG30" s="237"/>
      <c r="CH30" s="237"/>
      <c r="CI30" s="237"/>
      <c r="CJ30" s="237"/>
      <c r="CK30" s="237"/>
      <c r="CL30" s="237"/>
      <c r="CM30" s="297">
        <f>SUM(F25:I25)*($AC$29)*2+SUM(B25:E25)*($AD$29)*5</f>
        <v>3341.7000000000003</v>
      </c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7"/>
      <c r="EL30" s="237"/>
      <c r="EM30" s="237"/>
      <c r="EN30" s="237"/>
      <c r="EO30" s="237"/>
      <c r="EP30" s="237"/>
      <c r="EQ30" s="237"/>
      <c r="ER30" s="237"/>
      <c r="ES30" s="237"/>
      <c r="ET30" s="237"/>
      <c r="EU30" s="237"/>
      <c r="EV30" s="237"/>
      <c r="EW30" s="237"/>
      <c r="EX30" s="237"/>
      <c r="EY30" s="237"/>
      <c r="EZ30" s="237"/>
      <c r="FA30" s="237"/>
      <c r="FB30" s="237"/>
      <c r="FC30" s="237"/>
      <c r="FD30" s="237"/>
      <c r="FE30" s="237"/>
      <c r="FF30" s="237"/>
      <c r="FG30" s="237"/>
      <c r="FH30" s="237"/>
      <c r="FI30" s="237"/>
      <c r="FJ30" s="237"/>
      <c r="FK30" s="237"/>
      <c r="FL30" s="237"/>
    </row>
    <row r="31" spans="1:169" s="234" customFormat="1" ht="15.75">
      <c r="A31" s="780" t="str">
        <f>'I fjor'!A31:AA31</f>
        <v>Ansatte og vikarer. Hvor mange hadde ulik stillingsprosent, går i ulike type turnus. I hvilken grad fyller de kvalifikasjonskravene?</v>
      </c>
      <c r="B31" s="781"/>
      <c r="C31" s="781"/>
      <c r="D31" s="781"/>
      <c r="E31" s="781"/>
      <c r="F31" s="781"/>
      <c r="G31" s="781"/>
      <c r="H31" s="781"/>
      <c r="I31" s="781"/>
      <c r="J31" s="781"/>
      <c r="K31" s="781"/>
      <c r="L31" s="781"/>
      <c r="M31" s="781"/>
      <c r="N31" s="781"/>
      <c r="O31" s="781"/>
      <c r="P31" s="781"/>
      <c r="Q31" s="781"/>
      <c r="R31" s="781"/>
      <c r="S31" s="781"/>
      <c r="T31" s="781"/>
      <c r="U31" s="781"/>
      <c r="V31" s="781"/>
      <c r="W31" s="781"/>
      <c r="X31" s="781"/>
      <c r="Y31" s="781"/>
      <c r="Z31" s="781"/>
      <c r="AA31" s="782"/>
      <c r="AB31" s="260"/>
      <c r="AC31" s="260"/>
      <c r="AD31" s="260"/>
      <c r="AE31" s="260"/>
      <c r="AF31" s="260"/>
      <c r="AG31" s="260"/>
      <c r="AH31" s="260"/>
      <c r="AI31" s="289"/>
      <c r="AJ31" s="289"/>
      <c r="AK31" s="289"/>
      <c r="AL31" s="289"/>
      <c r="AM31" s="290"/>
      <c r="AN31" s="231"/>
      <c r="AO31" s="290"/>
      <c r="AP31" s="291"/>
      <c r="AQ31" s="292"/>
      <c r="AR31" s="290"/>
      <c r="AS31" s="290"/>
      <c r="AT31" s="293"/>
      <c r="AU31" s="292"/>
      <c r="AW31" s="237"/>
      <c r="AX31" s="237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37"/>
      <c r="BN31" s="272"/>
      <c r="BO31" s="292"/>
      <c r="BP31" s="272"/>
      <c r="BQ31" s="272"/>
      <c r="BR31" s="292"/>
      <c r="BS31" s="292"/>
      <c r="BT31" s="292"/>
      <c r="BU31" s="292"/>
      <c r="BV31" s="292"/>
      <c r="BW31" s="292"/>
      <c r="BX31" s="272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7"/>
      <c r="EL31" s="237"/>
      <c r="EM31" s="237"/>
      <c r="EN31" s="237"/>
      <c r="EO31" s="237"/>
      <c r="EP31" s="237"/>
      <c r="EQ31" s="237"/>
      <c r="ER31" s="237"/>
      <c r="ES31" s="237"/>
      <c r="ET31" s="237"/>
      <c r="EU31" s="237"/>
      <c r="EV31" s="237"/>
      <c r="EW31" s="237"/>
      <c r="EX31" s="237"/>
      <c r="EY31" s="237"/>
      <c r="EZ31" s="237"/>
      <c r="FA31" s="237"/>
      <c r="FB31" s="237"/>
      <c r="FC31" s="237"/>
      <c r="FD31" s="237"/>
      <c r="FE31" s="237"/>
      <c r="FF31" s="237"/>
      <c r="FG31" s="237"/>
      <c r="FH31" s="237"/>
      <c r="FI31" s="237"/>
      <c r="FJ31" s="237"/>
      <c r="FK31" s="237"/>
    </row>
    <row r="32" spans="1:169" s="234" customFormat="1" ht="15" customHeight="1">
      <c r="A32" s="733" t="s">
        <v>154</v>
      </c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597"/>
      <c r="O32" s="867" t="str">
        <f>'I fjor'!O32:U32</f>
        <v>Andelen faglærte</v>
      </c>
      <c r="P32" s="867"/>
      <c r="Q32" s="867"/>
      <c r="R32" s="867"/>
      <c r="S32" s="867"/>
      <c r="T32" s="867"/>
      <c r="U32" s="868"/>
      <c r="V32" s="597"/>
      <c r="W32" s="855" t="str">
        <f>'I fjor'!W32:AA32</f>
        <v>Beregnet antall årsverk brukt</v>
      </c>
      <c r="X32" s="856"/>
      <c r="Y32" s="856"/>
      <c r="Z32" s="856"/>
      <c r="AA32" s="868"/>
      <c r="AB32" s="298"/>
      <c r="AC32" s="298"/>
      <c r="AD32" s="299"/>
      <c r="AE32" s="260"/>
      <c r="AF32" s="260"/>
      <c r="AG32" s="260"/>
      <c r="AH32" s="260"/>
      <c r="AI32" s="260"/>
      <c r="AJ32" s="260"/>
      <c r="AK32" s="289"/>
      <c r="AL32" s="289"/>
      <c r="AM32" s="289"/>
      <c r="AN32" s="289"/>
      <c r="AO32" s="290"/>
      <c r="AP32" s="231"/>
      <c r="AQ32" s="290"/>
      <c r="AR32" s="291"/>
      <c r="AS32" s="292"/>
      <c r="AT32" s="290"/>
      <c r="AU32" s="290"/>
      <c r="AV32" s="293"/>
      <c r="AW32" s="292"/>
      <c r="AY32" s="237"/>
      <c r="AZ32" s="237"/>
      <c r="BA32" s="290"/>
      <c r="BB32" s="290"/>
      <c r="BC32" s="290"/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37"/>
      <c r="BP32" s="272"/>
      <c r="BQ32" s="292"/>
      <c r="BR32" s="272"/>
      <c r="BS32" s="272"/>
      <c r="BT32" s="292"/>
      <c r="BU32" s="292"/>
      <c r="BV32" s="292"/>
      <c r="BW32" s="292"/>
      <c r="BX32" s="292"/>
      <c r="BY32" s="292"/>
      <c r="BZ32" s="272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7"/>
      <c r="EL32" s="237"/>
      <c r="EM32" s="237"/>
      <c r="EN32" s="237"/>
      <c r="EO32" s="237"/>
      <c r="EP32" s="237"/>
      <c r="EQ32" s="237"/>
      <c r="ER32" s="237"/>
      <c r="ES32" s="237"/>
      <c r="ET32" s="237"/>
      <c r="EU32" s="237"/>
      <c r="EV32" s="237"/>
      <c r="EW32" s="237"/>
      <c r="EX32" s="237"/>
      <c r="EY32" s="237"/>
      <c r="EZ32" s="237"/>
      <c r="FA32" s="237"/>
      <c r="FB32" s="237"/>
      <c r="FC32" s="237"/>
      <c r="FD32" s="237"/>
      <c r="FE32" s="237"/>
      <c r="FF32" s="237"/>
      <c r="FG32" s="237"/>
      <c r="FH32" s="237"/>
      <c r="FI32" s="237"/>
      <c r="FJ32" s="237"/>
      <c r="FK32" s="237"/>
      <c r="FL32" s="237"/>
      <c r="FM32" s="237"/>
    </row>
    <row r="33" spans="1:172" s="234" customFormat="1" ht="43.5" customHeight="1">
      <c r="A33" s="690" t="s">
        <v>238</v>
      </c>
      <c r="B33" s="691"/>
      <c r="C33" s="691"/>
      <c r="D33" s="691"/>
      <c r="E33" s="692"/>
      <c r="F33" s="677" t="str">
        <f>'I fjor'!F33:G34</f>
        <v>Antall fast ansatte i de ulike vaktordninger innenfor plan, utover plan og faste ringevikarer</v>
      </c>
      <c r="G33" s="677"/>
      <c r="H33" s="769" t="s">
        <v>239</v>
      </c>
      <c r="I33" s="703"/>
      <c r="J33" s="703"/>
      <c r="K33" s="704"/>
      <c r="L33" s="677" t="s">
        <v>184</v>
      </c>
      <c r="M33" s="677"/>
      <c r="N33" s="598"/>
      <c r="O33" s="775" t="str">
        <f>'I fjor'!O33:U33</f>
        <v>Antall ansatte som fyller faglige kvalifikasjonskrav til stillingen/funksjonen de utfører (AUTORISERTE )</v>
      </c>
      <c r="P33" s="775"/>
      <c r="Q33" s="775"/>
      <c r="R33" s="775"/>
      <c r="S33" s="775"/>
      <c r="T33" s="775"/>
      <c r="U33" s="776"/>
      <c r="V33" s="600"/>
      <c r="W33" s="360" t="str">
        <f>'I fjor'!W33</f>
        <v>Fast ansatte (inkl utover bem. plan)</v>
      </c>
      <c r="X33" s="361" t="str">
        <f>'I fjor'!X33</f>
        <v>Innleie til  ferie-avvikling</v>
      </c>
      <c r="Y33" s="477" t="str">
        <f>'I fjor'!Y33</f>
        <v>Innleie av vikarer til annen bruk</v>
      </c>
      <c r="Z33" s="478" t="str">
        <f>'I fjor'!Z33</f>
        <v>Overtid</v>
      </c>
      <c r="AA33" s="478" t="str">
        <f>'I fjor'!AA33</f>
        <v>Totalt</v>
      </c>
      <c r="AB33" s="295"/>
      <c r="AC33" s="296"/>
      <c r="AD33" s="296"/>
      <c r="AE33" s="237"/>
      <c r="AF33" s="260"/>
      <c r="AG33" s="260"/>
      <c r="AH33" s="260"/>
      <c r="AI33" s="260"/>
      <c r="AJ33" s="260"/>
      <c r="AK33" s="260"/>
      <c r="AL33" s="260"/>
      <c r="AM33" s="289"/>
      <c r="AN33" s="289"/>
      <c r="AO33" s="289"/>
      <c r="AP33" s="289"/>
      <c r="AQ33" s="290"/>
      <c r="AR33" s="231"/>
      <c r="AS33" s="290"/>
      <c r="AT33" s="291"/>
      <c r="AU33" s="292"/>
      <c r="AV33" s="290"/>
      <c r="AW33" s="290"/>
      <c r="AX33" s="293"/>
      <c r="AY33" s="292"/>
      <c r="BA33" s="237"/>
      <c r="BB33" s="237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37"/>
      <c r="BR33" s="272"/>
      <c r="BS33" s="292"/>
      <c r="BT33" s="272"/>
      <c r="BU33" s="272"/>
      <c r="BV33" s="292"/>
      <c r="BW33" s="292"/>
      <c r="BX33" s="292"/>
      <c r="BY33" s="292"/>
      <c r="BZ33" s="292"/>
      <c r="CA33" s="292"/>
      <c r="CB33" s="272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7"/>
      <c r="EL33" s="237"/>
      <c r="EM33" s="237"/>
      <c r="EN33" s="237"/>
      <c r="EO33" s="237"/>
      <c r="EP33" s="237"/>
      <c r="EQ33" s="237"/>
      <c r="ER33" s="237"/>
      <c r="ES33" s="237"/>
      <c r="ET33" s="237"/>
      <c r="EU33" s="237"/>
      <c r="EV33" s="237"/>
      <c r="EW33" s="237"/>
      <c r="EX33" s="237"/>
      <c r="EY33" s="237"/>
      <c r="EZ33" s="237"/>
      <c r="FA33" s="237"/>
      <c r="FB33" s="237"/>
      <c r="FC33" s="237"/>
      <c r="FD33" s="237"/>
      <c r="FE33" s="237"/>
      <c r="FF33" s="237"/>
      <c r="FG33" s="237"/>
      <c r="FH33" s="237"/>
      <c r="FI33" s="237"/>
      <c r="FJ33" s="237"/>
      <c r="FK33" s="237"/>
      <c r="FL33" s="237"/>
      <c r="FM33" s="237"/>
      <c r="FN33" s="237"/>
      <c r="FO33" s="237"/>
    </row>
    <row r="34" spans="1:172" s="234" customFormat="1" ht="21.75" customHeight="1">
      <c r="A34" s="693"/>
      <c r="B34" s="694"/>
      <c r="C34" s="694"/>
      <c r="D34" s="694"/>
      <c r="E34" s="695"/>
      <c r="F34" s="711"/>
      <c r="G34" s="711"/>
      <c r="H34" s="363" t="s">
        <v>157</v>
      </c>
      <c r="I34" s="364" t="s">
        <v>158</v>
      </c>
      <c r="J34" s="364" t="s">
        <v>159</v>
      </c>
      <c r="K34" s="365" t="s">
        <v>162</v>
      </c>
      <c r="L34" s="711"/>
      <c r="M34" s="711"/>
      <c r="N34" s="598"/>
      <c r="O34" s="482"/>
      <c r="P34" s="483"/>
      <c r="Q34" s="479" t="str">
        <f>'I fjor'!Q34</f>
        <v>Under 30 %</v>
      </c>
      <c r="R34" s="480" t="str">
        <f>'I fjor'!R34</f>
        <v>30 til 50%</v>
      </c>
      <c r="S34" s="480" t="str">
        <f>'I fjor'!S34</f>
        <v>50 til 80 %</v>
      </c>
      <c r="T34" s="481" t="str">
        <f>'I fjor'!T34</f>
        <v>Over 80 %</v>
      </c>
      <c r="U34" s="484" t="str">
        <f>'I fjor'!U34</f>
        <v>Totalt</v>
      </c>
      <c r="V34" s="598"/>
      <c r="W34" s="485">
        <f>X25</f>
        <v>15.719999999999999</v>
      </c>
      <c r="X34" s="486">
        <f>(AR25)/$Z$25</f>
        <v>1.7291999999999998</v>
      </c>
      <c r="Y34" s="486">
        <f>(AS25)/$Z$25</f>
        <v>0.78599999999999992</v>
      </c>
      <c r="Z34" s="486">
        <f>(+AT25)/$Z$25</f>
        <v>0.88732394366197187</v>
      </c>
      <c r="AA34" s="487">
        <f>SUM(W34:Z34)</f>
        <v>19.122523943661971</v>
      </c>
      <c r="AB34" s="300"/>
      <c r="AC34" s="295"/>
      <c r="AD34" s="296"/>
      <c r="AE34" s="296"/>
      <c r="AF34" s="237"/>
      <c r="AG34" s="260"/>
      <c r="AH34" s="260"/>
      <c r="AI34" s="260"/>
      <c r="AJ34" s="260"/>
      <c r="AK34" s="260"/>
      <c r="AL34" s="260"/>
      <c r="AM34" s="260"/>
      <c r="AN34" s="289"/>
      <c r="AO34" s="289"/>
      <c r="AP34" s="289"/>
      <c r="AQ34" s="289"/>
      <c r="AR34" s="290"/>
      <c r="AS34" s="231"/>
      <c r="AT34" s="290"/>
      <c r="AU34" s="291"/>
      <c r="AV34" s="292"/>
      <c r="AW34" s="290"/>
      <c r="AX34" s="290"/>
      <c r="AY34" s="293"/>
      <c r="AZ34" s="292"/>
      <c r="BB34" s="237"/>
      <c r="BC34" s="237"/>
      <c r="BD34" s="290"/>
      <c r="BE34" s="290"/>
      <c r="BF34" s="290"/>
      <c r="BG34" s="290"/>
      <c r="BH34" s="290"/>
      <c r="BI34" s="290"/>
      <c r="BJ34" s="290"/>
      <c r="BK34" s="290"/>
      <c r="BL34" s="290"/>
      <c r="BM34" s="290"/>
      <c r="BN34" s="290"/>
      <c r="BO34" s="290"/>
      <c r="BP34" s="290"/>
      <c r="BQ34" s="290"/>
      <c r="BR34" s="237"/>
      <c r="BS34" s="272"/>
      <c r="BT34" s="292"/>
      <c r="BU34" s="272"/>
      <c r="BV34" s="272"/>
      <c r="BW34" s="292"/>
      <c r="BX34" s="292"/>
      <c r="BY34" s="292"/>
      <c r="BZ34" s="292"/>
      <c r="CA34" s="292"/>
      <c r="CB34" s="292"/>
      <c r="CC34" s="272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7"/>
      <c r="EL34" s="237"/>
      <c r="EM34" s="237"/>
      <c r="EN34" s="237"/>
      <c r="EO34" s="237"/>
      <c r="EP34" s="237"/>
      <c r="EQ34" s="237"/>
      <c r="ER34" s="237"/>
      <c r="ES34" s="237"/>
      <c r="ET34" s="237"/>
      <c r="EU34" s="237"/>
      <c r="EV34" s="237"/>
      <c r="EW34" s="237"/>
      <c r="EX34" s="237"/>
      <c r="EY34" s="237"/>
      <c r="EZ34" s="237"/>
      <c r="FA34" s="237"/>
      <c r="FB34" s="237"/>
      <c r="FC34" s="237"/>
      <c r="FD34" s="237"/>
      <c r="FE34" s="237"/>
      <c r="FF34" s="237"/>
      <c r="FG34" s="237"/>
      <c r="FH34" s="237"/>
      <c r="FI34" s="237"/>
      <c r="FJ34" s="237"/>
      <c r="FK34" s="237"/>
      <c r="FL34" s="237"/>
      <c r="FM34" s="237"/>
      <c r="FN34" s="237"/>
      <c r="FO34" s="237"/>
      <c r="FP34" s="237"/>
    </row>
    <row r="35" spans="1:172" s="234" customFormat="1" ht="15.75">
      <c r="A35" s="777">
        <v>3</v>
      </c>
      <c r="B35" s="778">
        <f>'plan i år'!B35</f>
        <v>0</v>
      </c>
      <c r="C35" s="778">
        <f>'plan i år'!C35</f>
        <v>0</v>
      </c>
      <c r="D35" s="778">
        <f>'plan i år'!D35</f>
        <v>0</v>
      </c>
      <c r="E35" s="779">
        <f>'plan i år'!E35</f>
        <v>0</v>
      </c>
      <c r="F35" s="828">
        <f>'plan i år'!F35</f>
        <v>16</v>
      </c>
      <c r="G35" s="828">
        <f>'plan i år'!G35</f>
        <v>0</v>
      </c>
      <c r="H35" s="488">
        <f>'plan i år'!H35</f>
        <v>1</v>
      </c>
      <c r="I35" s="489">
        <f>'plan i år'!I35</f>
        <v>2</v>
      </c>
      <c r="J35" s="489">
        <f>'plan i år'!J35</f>
        <v>0</v>
      </c>
      <c r="K35" s="490">
        <f t="shared" ref="K35:K39" si="2">F35-SUM(H35:J35)</f>
        <v>13</v>
      </c>
      <c r="L35" s="675">
        <f>F35*2/(A35+1E-55)</f>
        <v>10.666666666666666</v>
      </c>
      <c r="M35" s="675"/>
      <c r="N35" s="598"/>
      <c r="O35" s="865" t="s">
        <v>163</v>
      </c>
      <c r="P35" s="866"/>
      <c r="Q35" s="488">
        <f>'plan i år'!Q35</f>
        <v>2</v>
      </c>
      <c r="R35" s="489">
        <f>'plan i år'!R35</f>
        <v>2</v>
      </c>
      <c r="S35" s="489">
        <f>'plan i år'!S35</f>
        <v>0</v>
      </c>
      <c r="T35" s="491">
        <f>'plan i år'!T35</f>
        <v>14</v>
      </c>
      <c r="U35" s="492">
        <f>SUM(Q35:T35)</f>
        <v>18</v>
      </c>
      <c r="V35" s="598"/>
      <c r="W35" s="829"/>
      <c r="X35" s="830"/>
      <c r="Y35" s="830"/>
      <c r="Z35" s="830"/>
      <c r="AA35" s="831"/>
      <c r="AB35" s="295"/>
      <c r="AC35" s="296"/>
      <c r="AD35" s="296"/>
      <c r="AE35" s="237"/>
      <c r="AF35" s="260"/>
      <c r="AG35" s="260"/>
      <c r="AH35" s="260"/>
      <c r="AI35" s="260"/>
      <c r="AJ35" s="260"/>
      <c r="AK35" s="260"/>
      <c r="AL35" s="260"/>
      <c r="AM35" s="289"/>
      <c r="AN35" s="289"/>
      <c r="AO35" s="289"/>
      <c r="AP35" s="289"/>
      <c r="AQ35" s="290"/>
      <c r="AR35" s="231"/>
      <c r="AS35" s="290"/>
      <c r="AT35" s="291"/>
      <c r="AU35" s="292"/>
      <c r="AV35" s="290"/>
      <c r="AW35" s="290"/>
      <c r="AX35" s="293"/>
      <c r="AY35" s="292"/>
      <c r="BA35" s="237"/>
      <c r="BB35" s="237"/>
      <c r="BC35" s="290"/>
      <c r="BD35" s="290"/>
      <c r="BE35" s="290"/>
      <c r="BF35" s="290"/>
      <c r="BG35" s="290"/>
      <c r="BH35" s="290"/>
      <c r="BI35" s="290"/>
      <c r="BJ35" s="290"/>
      <c r="BK35" s="290"/>
      <c r="BL35" s="290"/>
      <c r="BM35" s="290"/>
      <c r="BN35" s="290"/>
      <c r="BO35" s="290"/>
      <c r="BP35" s="290"/>
      <c r="BQ35" s="237"/>
      <c r="BR35" s="272"/>
      <c r="BS35" s="292"/>
      <c r="BT35" s="272"/>
      <c r="BU35" s="272"/>
      <c r="BV35" s="292"/>
      <c r="BW35" s="292"/>
      <c r="BX35" s="292"/>
      <c r="BY35" s="292"/>
      <c r="BZ35" s="292"/>
      <c r="CA35" s="292"/>
      <c r="CB35" s="272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7"/>
      <c r="EL35" s="237"/>
      <c r="EM35" s="237"/>
      <c r="EN35" s="237"/>
      <c r="EO35" s="237"/>
      <c r="EP35" s="237"/>
      <c r="EQ35" s="237"/>
      <c r="ER35" s="237"/>
      <c r="ES35" s="237"/>
      <c r="ET35" s="237"/>
      <c r="EU35" s="237"/>
      <c r="EV35" s="237"/>
      <c r="EW35" s="237"/>
      <c r="EX35" s="237"/>
      <c r="EY35" s="237"/>
      <c r="EZ35" s="237"/>
      <c r="FA35" s="237"/>
      <c r="FB35" s="237"/>
      <c r="FC35" s="237"/>
      <c r="FD35" s="237"/>
      <c r="FE35" s="237"/>
      <c r="FF35" s="237"/>
      <c r="FG35" s="237"/>
      <c r="FH35" s="237"/>
      <c r="FI35" s="237"/>
      <c r="FJ35" s="237"/>
      <c r="FK35" s="237"/>
      <c r="FL35" s="237"/>
      <c r="FM35" s="237"/>
      <c r="FN35" s="237"/>
      <c r="FO35" s="237"/>
    </row>
    <row r="36" spans="1:172" s="234" customFormat="1" ht="15" customHeight="1">
      <c r="A36" s="777">
        <f>'plan i år'!A36</f>
        <v>2</v>
      </c>
      <c r="B36" s="778">
        <f>'plan i år'!B36</f>
        <v>0</v>
      </c>
      <c r="C36" s="778">
        <f>'plan i år'!C36</f>
        <v>0</v>
      </c>
      <c r="D36" s="778">
        <f>'plan i år'!D36</f>
        <v>0</v>
      </c>
      <c r="E36" s="779">
        <f>'plan i år'!E36</f>
        <v>0</v>
      </c>
      <c r="F36" s="828">
        <f>'plan i år'!F36</f>
        <v>3</v>
      </c>
      <c r="G36" s="828">
        <f>'plan i år'!G36</f>
        <v>0</v>
      </c>
      <c r="H36" s="488">
        <f>'plan i år'!H36</f>
        <v>2</v>
      </c>
      <c r="I36" s="489">
        <f>'plan i år'!I36</f>
        <v>0</v>
      </c>
      <c r="J36" s="489">
        <f>'plan i år'!J36</f>
        <v>0</v>
      </c>
      <c r="K36" s="490">
        <f t="shared" si="2"/>
        <v>1</v>
      </c>
      <c r="L36" s="675">
        <f t="shared" ref="L36:L38" si="3">F36*2/(A36+1E-55)</f>
        <v>3</v>
      </c>
      <c r="M36" s="675"/>
      <c r="N36" s="598"/>
      <c r="O36" s="863" t="s">
        <v>164</v>
      </c>
      <c r="P36" s="864"/>
      <c r="Q36" s="493"/>
      <c r="R36" s="494"/>
      <c r="S36" s="494"/>
      <c r="T36" s="490"/>
      <c r="U36" s="491">
        <f>'plan i år'!U36</f>
        <v>3</v>
      </c>
      <c r="V36" s="598"/>
      <c r="W36" s="855" t="str">
        <f>'I fjor'!W36:AA37</f>
        <v>Gjennomsnittlig stilllingsstørrelse</v>
      </c>
      <c r="X36" s="856"/>
      <c r="Y36" s="856"/>
      <c r="Z36" s="856"/>
      <c r="AA36" s="857"/>
      <c r="AB36" s="295"/>
      <c r="AC36" s="296"/>
      <c r="AD36" s="296"/>
      <c r="AE36" s="237"/>
      <c r="AF36" s="260"/>
      <c r="AG36" s="260"/>
      <c r="AH36" s="260"/>
      <c r="AI36" s="260"/>
      <c r="AJ36" s="260"/>
      <c r="AK36" s="260"/>
      <c r="AL36" s="260"/>
      <c r="AM36" s="289"/>
      <c r="AN36" s="289"/>
      <c r="AO36" s="289"/>
      <c r="AP36" s="289"/>
      <c r="AQ36" s="290"/>
      <c r="AR36" s="231"/>
      <c r="AS36" s="290"/>
      <c r="AT36" s="291"/>
      <c r="AU36" s="292"/>
      <c r="AV36" s="290"/>
      <c r="AW36" s="290"/>
      <c r="AX36" s="293"/>
      <c r="AY36" s="292"/>
      <c r="BA36" s="237"/>
      <c r="BB36" s="237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37"/>
      <c r="BR36" s="272"/>
      <c r="BS36" s="292"/>
      <c r="BT36" s="272"/>
      <c r="BU36" s="272"/>
      <c r="BV36" s="292"/>
      <c r="BW36" s="292"/>
      <c r="BX36" s="292"/>
      <c r="BY36" s="292"/>
      <c r="BZ36" s="292"/>
      <c r="CA36" s="292"/>
      <c r="CB36" s="272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7"/>
      <c r="EL36" s="237"/>
      <c r="EM36" s="237"/>
      <c r="EN36" s="237"/>
      <c r="EO36" s="237"/>
      <c r="EP36" s="237"/>
      <c r="EQ36" s="237"/>
      <c r="ER36" s="237"/>
      <c r="ES36" s="237"/>
      <c r="ET36" s="237"/>
      <c r="EU36" s="237"/>
      <c r="EV36" s="237"/>
      <c r="EW36" s="237"/>
      <c r="EX36" s="237"/>
      <c r="EY36" s="237"/>
      <c r="EZ36" s="237"/>
      <c r="FA36" s="237"/>
      <c r="FB36" s="237"/>
      <c r="FC36" s="237"/>
      <c r="FD36" s="237"/>
      <c r="FE36" s="237"/>
      <c r="FF36" s="237"/>
      <c r="FG36" s="237"/>
      <c r="FH36" s="237"/>
      <c r="FI36" s="237"/>
      <c r="FJ36" s="237"/>
      <c r="FK36" s="237"/>
      <c r="FL36" s="237"/>
      <c r="FM36" s="237"/>
      <c r="FN36" s="237"/>
      <c r="FO36" s="237"/>
    </row>
    <row r="37" spans="1:172" s="234" customFormat="1" ht="15.75">
      <c r="A37" s="777">
        <f>'plan i år'!A37</f>
        <v>6</v>
      </c>
      <c r="B37" s="778">
        <f>'plan i år'!B37</f>
        <v>0</v>
      </c>
      <c r="C37" s="778">
        <f>'plan i år'!C37</f>
        <v>0</v>
      </c>
      <c r="D37" s="778">
        <f>'plan i år'!D37</f>
        <v>0</v>
      </c>
      <c r="E37" s="779">
        <f>'plan i år'!E37</f>
        <v>0</v>
      </c>
      <c r="F37" s="828">
        <f>'plan i år'!F37</f>
        <v>1</v>
      </c>
      <c r="G37" s="828">
        <f>'plan i år'!G37</f>
        <v>0</v>
      </c>
      <c r="H37" s="488">
        <f>'plan i år'!H37</f>
        <v>1</v>
      </c>
      <c r="I37" s="489">
        <f>'plan i år'!I37</f>
        <v>0</v>
      </c>
      <c r="J37" s="489">
        <f>'plan i år'!J37</f>
        <v>0</v>
      </c>
      <c r="K37" s="490">
        <f t="shared" si="2"/>
        <v>0</v>
      </c>
      <c r="L37" s="675">
        <f t="shared" si="3"/>
        <v>0.33333333333333331</v>
      </c>
      <c r="M37" s="675"/>
      <c r="N37" s="598"/>
      <c r="O37" s="861" t="s">
        <v>46</v>
      </c>
      <c r="P37" s="862"/>
      <c r="Q37" s="495">
        <f>SUM(Q35:Q36)</f>
        <v>2</v>
      </c>
      <c r="R37" s="496">
        <f t="shared" ref="R37:U37" si="4">SUM(R35:R36)</f>
        <v>2</v>
      </c>
      <c r="S37" s="496">
        <f t="shared" si="4"/>
        <v>0</v>
      </c>
      <c r="T37" s="497">
        <f t="shared" si="4"/>
        <v>14</v>
      </c>
      <c r="U37" s="498">
        <f t="shared" si="4"/>
        <v>21</v>
      </c>
      <c r="V37" s="598"/>
      <c r="W37" s="858"/>
      <c r="X37" s="859"/>
      <c r="Y37" s="859"/>
      <c r="Z37" s="859"/>
      <c r="AA37" s="860"/>
      <c r="AB37" s="295"/>
      <c r="AC37" s="296"/>
      <c r="AD37" s="296"/>
      <c r="AE37" s="237"/>
      <c r="AF37" s="260"/>
      <c r="AG37" s="260"/>
      <c r="AH37" s="260"/>
      <c r="AI37" s="260"/>
      <c r="AJ37" s="260"/>
      <c r="AK37" s="260"/>
      <c r="AL37" s="260"/>
      <c r="AM37" s="289"/>
      <c r="AN37" s="289"/>
      <c r="AO37" s="289"/>
      <c r="AP37" s="289"/>
      <c r="AQ37" s="290"/>
      <c r="AR37" s="231"/>
      <c r="AS37" s="290"/>
      <c r="AT37" s="291"/>
      <c r="AU37" s="292"/>
      <c r="AV37" s="290"/>
      <c r="AW37" s="290"/>
      <c r="AX37" s="293"/>
      <c r="AY37" s="292"/>
      <c r="BA37" s="237"/>
      <c r="BB37" s="237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37"/>
      <c r="BR37" s="272"/>
      <c r="BS37" s="292"/>
      <c r="BT37" s="272"/>
      <c r="BU37" s="272"/>
      <c r="BV37" s="292"/>
      <c r="BW37" s="292"/>
      <c r="BX37" s="292"/>
      <c r="BY37" s="292"/>
      <c r="BZ37" s="292"/>
      <c r="CA37" s="292"/>
      <c r="CB37" s="272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7"/>
      <c r="EL37" s="237"/>
      <c r="EM37" s="237"/>
      <c r="EN37" s="237"/>
      <c r="EO37" s="237"/>
      <c r="EP37" s="237"/>
      <c r="EQ37" s="237"/>
      <c r="ER37" s="237"/>
      <c r="ES37" s="237"/>
      <c r="ET37" s="237"/>
      <c r="EU37" s="237"/>
      <c r="EV37" s="237"/>
      <c r="EW37" s="237"/>
      <c r="EX37" s="237"/>
      <c r="EY37" s="237"/>
      <c r="EZ37" s="237"/>
      <c r="FA37" s="237"/>
      <c r="FB37" s="237"/>
      <c r="FC37" s="237"/>
      <c r="FD37" s="237"/>
      <c r="FE37" s="237"/>
      <c r="FF37" s="237"/>
      <c r="FG37" s="237"/>
      <c r="FH37" s="237"/>
      <c r="FI37" s="237"/>
      <c r="FJ37" s="237"/>
      <c r="FK37" s="237"/>
      <c r="FL37" s="237"/>
      <c r="FM37" s="237"/>
      <c r="FN37" s="237"/>
      <c r="FO37" s="237"/>
    </row>
    <row r="38" spans="1:172" s="234" customFormat="1" ht="15.75">
      <c r="A38" s="777">
        <f>'plan i år'!A38</f>
        <v>4</v>
      </c>
      <c r="B38" s="778">
        <f>'plan i år'!B38</f>
        <v>0</v>
      </c>
      <c r="C38" s="778">
        <f>'plan i år'!C38</f>
        <v>0</v>
      </c>
      <c r="D38" s="778">
        <f>'plan i år'!D38</f>
        <v>0</v>
      </c>
      <c r="E38" s="779">
        <f>'plan i år'!E38</f>
        <v>0</v>
      </c>
      <c r="F38" s="828">
        <f>'plan i år'!F38</f>
        <v>0</v>
      </c>
      <c r="G38" s="828">
        <f>'plan i år'!G38</f>
        <v>0</v>
      </c>
      <c r="H38" s="488">
        <f>'plan i år'!H38</f>
        <v>0</v>
      </c>
      <c r="I38" s="489">
        <f>'plan i år'!I38</f>
        <v>0</v>
      </c>
      <c r="J38" s="489">
        <f>'plan i år'!J38</f>
        <v>0</v>
      </c>
      <c r="K38" s="490">
        <f t="shared" si="2"/>
        <v>0</v>
      </c>
      <c r="L38" s="675">
        <f t="shared" si="3"/>
        <v>0</v>
      </c>
      <c r="M38" s="675"/>
      <c r="N38" s="598"/>
      <c r="O38" s="830" t="s">
        <v>165</v>
      </c>
      <c r="P38" s="830"/>
      <c r="Q38" s="830"/>
      <c r="R38" s="830"/>
      <c r="S38" s="830"/>
      <c r="T38" s="830"/>
      <c r="U38" s="831"/>
      <c r="V38" s="598"/>
      <c r="W38" s="730">
        <f>(X25-AA41)/F40</f>
        <v>0.74999999999999989</v>
      </c>
      <c r="X38" s="731"/>
      <c r="Y38" s="731"/>
      <c r="Z38" s="731"/>
      <c r="AA38" s="732"/>
      <c r="AB38" s="295"/>
      <c r="AC38" s="296"/>
      <c r="AD38" s="296"/>
      <c r="AE38" s="237"/>
      <c r="AF38" s="260"/>
      <c r="AG38" s="260"/>
      <c r="AH38" s="260"/>
      <c r="AI38" s="260"/>
      <c r="AJ38" s="260"/>
      <c r="AK38" s="260"/>
      <c r="AL38" s="260"/>
      <c r="AM38" s="289"/>
      <c r="AN38" s="289"/>
      <c r="AO38" s="289"/>
      <c r="AP38" s="289"/>
      <c r="AQ38" s="290"/>
      <c r="AR38" s="231"/>
      <c r="AS38" s="290"/>
      <c r="AT38" s="291"/>
      <c r="AU38" s="292"/>
      <c r="AV38" s="290"/>
      <c r="AW38" s="290"/>
      <c r="AX38" s="293"/>
      <c r="AY38" s="292"/>
      <c r="BA38" s="237"/>
      <c r="BB38" s="237"/>
      <c r="BC38" s="290"/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37"/>
      <c r="BR38" s="272"/>
      <c r="BS38" s="292"/>
      <c r="BT38" s="272"/>
      <c r="BU38" s="272"/>
      <c r="BV38" s="292"/>
      <c r="BW38" s="292"/>
      <c r="BX38" s="292"/>
      <c r="BY38" s="292"/>
      <c r="BZ38" s="292"/>
      <c r="CA38" s="292"/>
      <c r="CB38" s="272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7"/>
      <c r="EL38" s="237"/>
      <c r="EM38" s="237"/>
      <c r="EN38" s="237"/>
      <c r="EO38" s="237"/>
      <c r="EP38" s="237"/>
      <c r="EQ38" s="237"/>
      <c r="ER38" s="237"/>
      <c r="ES38" s="237"/>
      <c r="ET38" s="237"/>
      <c r="EU38" s="237"/>
      <c r="EV38" s="237"/>
      <c r="EW38" s="237"/>
      <c r="EX38" s="237"/>
      <c r="EY38" s="237"/>
      <c r="EZ38" s="237"/>
      <c r="FA38" s="237"/>
      <c r="FB38" s="237"/>
      <c r="FC38" s="237"/>
      <c r="FD38" s="237"/>
      <c r="FE38" s="237"/>
      <c r="FF38" s="237"/>
      <c r="FG38" s="237"/>
      <c r="FH38" s="237"/>
      <c r="FI38" s="237"/>
      <c r="FJ38" s="237"/>
      <c r="FK38" s="237"/>
      <c r="FL38" s="237"/>
      <c r="FM38" s="237"/>
      <c r="FN38" s="237"/>
      <c r="FO38" s="237"/>
    </row>
    <row r="39" spans="1:172" s="234" customFormat="1" ht="15.75">
      <c r="A39" s="837" t="str">
        <f>'I fjor'!A39:E39</f>
        <v>Fast ansatte utover bemanningsplan</v>
      </c>
      <c r="B39" s="838"/>
      <c r="C39" s="838"/>
      <c r="D39" s="838"/>
      <c r="E39" s="839"/>
      <c r="F39" s="828">
        <f>'plan i år'!F39</f>
        <v>0</v>
      </c>
      <c r="G39" s="828">
        <f>'plan i år'!G39</f>
        <v>0</v>
      </c>
      <c r="H39" s="488">
        <f>'plan i år'!H39</f>
        <v>0</v>
      </c>
      <c r="I39" s="489">
        <f>'plan i år'!I39</f>
        <v>0</v>
      </c>
      <c r="J39" s="489">
        <f>'plan i år'!J39</f>
        <v>0</v>
      </c>
      <c r="K39" s="490">
        <f t="shared" si="2"/>
        <v>0</v>
      </c>
      <c r="L39" s="499"/>
      <c r="M39" s="499"/>
      <c r="N39" s="598"/>
      <c r="O39" s="500"/>
      <c r="P39" s="500"/>
      <c r="Q39" s="500"/>
      <c r="R39" s="500"/>
      <c r="S39" s="500"/>
      <c r="T39" s="500"/>
      <c r="U39" s="501"/>
      <c r="V39" s="600"/>
      <c r="W39" s="502"/>
      <c r="X39" s="502"/>
      <c r="Y39" s="502"/>
      <c r="Z39" s="502"/>
      <c r="AA39" s="502"/>
      <c r="AB39" s="295"/>
      <c r="AC39" s="296"/>
      <c r="AD39" s="296"/>
      <c r="AE39" s="237"/>
      <c r="AF39" s="260"/>
      <c r="AG39" s="260"/>
      <c r="AH39" s="260"/>
      <c r="AI39" s="260"/>
      <c r="AJ39" s="260"/>
      <c r="AK39" s="260"/>
      <c r="AL39" s="260"/>
      <c r="AM39" s="289"/>
      <c r="AN39" s="289"/>
      <c r="AO39" s="289"/>
      <c r="AP39" s="289"/>
      <c r="AQ39" s="290"/>
      <c r="AR39" s="231"/>
      <c r="AS39" s="290"/>
      <c r="AT39" s="291"/>
      <c r="AU39" s="292"/>
      <c r="AV39" s="290"/>
      <c r="AW39" s="290"/>
      <c r="AX39" s="293"/>
      <c r="AY39" s="292"/>
      <c r="BA39" s="237"/>
      <c r="BB39" s="237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37"/>
      <c r="BR39" s="272"/>
      <c r="BS39" s="292"/>
      <c r="BT39" s="272"/>
      <c r="BU39" s="272"/>
      <c r="BV39" s="292"/>
      <c r="BW39" s="292"/>
      <c r="BX39" s="292"/>
      <c r="BY39" s="292"/>
      <c r="BZ39" s="292"/>
      <c r="CA39" s="292"/>
      <c r="CB39" s="272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7"/>
      <c r="EL39" s="237"/>
      <c r="EM39" s="237"/>
      <c r="EN39" s="237"/>
      <c r="EO39" s="237"/>
      <c r="EP39" s="237"/>
      <c r="EQ39" s="237"/>
      <c r="ER39" s="237"/>
      <c r="ES39" s="237"/>
      <c r="ET39" s="237"/>
      <c r="EU39" s="237"/>
      <c r="EV39" s="237"/>
      <c r="EW39" s="237"/>
      <c r="EX39" s="237"/>
      <c r="EY39" s="237"/>
      <c r="EZ39" s="237"/>
      <c r="FA39" s="237"/>
      <c r="FB39" s="237"/>
      <c r="FC39" s="237"/>
      <c r="FD39" s="237"/>
      <c r="FE39" s="237"/>
      <c r="FF39" s="237"/>
      <c r="FG39" s="237"/>
      <c r="FH39" s="237"/>
      <c r="FI39" s="237"/>
      <c r="FJ39" s="237"/>
      <c r="FK39" s="237"/>
      <c r="FL39" s="237"/>
      <c r="FM39" s="237"/>
      <c r="FN39" s="237"/>
      <c r="FO39" s="237"/>
    </row>
    <row r="40" spans="1:172" s="234" customFormat="1" ht="15" customHeight="1">
      <c r="A40" s="829" t="s">
        <v>186</v>
      </c>
      <c r="B40" s="830"/>
      <c r="C40" s="830"/>
      <c r="D40" s="830"/>
      <c r="E40" s="831"/>
      <c r="F40" s="840">
        <f>SUM(F35:G39)</f>
        <v>20</v>
      </c>
      <c r="G40" s="841"/>
      <c r="H40" s="503">
        <f>SUM(H35:H39)</f>
        <v>4</v>
      </c>
      <c r="I40" s="504">
        <f t="shared" ref="I40:K40" si="5">SUM(I35:I39)</f>
        <v>2</v>
      </c>
      <c r="J40" s="504">
        <f t="shared" si="5"/>
        <v>0</v>
      </c>
      <c r="K40" s="505">
        <f t="shared" si="5"/>
        <v>14</v>
      </c>
      <c r="L40" s="506"/>
      <c r="M40" s="507">
        <f>SUM(L35:M38)</f>
        <v>14</v>
      </c>
      <c r="N40" s="598"/>
      <c r="O40" s="508" t="str">
        <f>O35</f>
        <v>Ansatte</v>
      </c>
      <c r="P40" s="509"/>
      <c r="Q40" s="510">
        <f>Q35/(H40+1E-24)</f>
        <v>0.5</v>
      </c>
      <c r="R40" s="510">
        <f t="shared" ref="R40:T40" si="6">R35/(I40+1E-24)</f>
        <v>1</v>
      </c>
      <c r="S40" s="510">
        <f t="shared" si="6"/>
        <v>0</v>
      </c>
      <c r="T40" s="510">
        <f t="shared" si="6"/>
        <v>1</v>
      </c>
      <c r="U40" s="511">
        <f>U35/(F40+1E-24)</f>
        <v>0.9</v>
      </c>
      <c r="V40" s="600"/>
      <c r="W40" s="295"/>
      <c r="X40" s="295"/>
      <c r="Y40" s="295"/>
      <c r="Z40" s="295"/>
      <c r="AA40" s="295"/>
      <c r="AB40" s="295"/>
      <c r="AC40" s="296"/>
      <c r="AD40" s="296"/>
      <c r="AE40" s="237"/>
      <c r="AF40" s="260"/>
      <c r="AG40" s="260"/>
      <c r="AH40" s="260"/>
      <c r="AI40" s="260"/>
      <c r="AJ40" s="260"/>
      <c r="AK40" s="260"/>
      <c r="AL40" s="260"/>
      <c r="AM40" s="289"/>
      <c r="AN40" s="289"/>
      <c r="AO40" s="289"/>
      <c r="AP40" s="289"/>
      <c r="AQ40" s="290"/>
      <c r="AR40" s="231"/>
      <c r="AS40" s="290"/>
      <c r="AT40" s="291"/>
      <c r="AU40" s="292"/>
      <c r="AV40" s="290"/>
      <c r="AW40" s="290"/>
      <c r="AX40" s="293"/>
      <c r="AY40" s="292"/>
      <c r="BA40" s="237"/>
      <c r="BB40" s="237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37"/>
      <c r="BR40" s="272"/>
      <c r="BS40" s="292"/>
      <c r="BT40" s="272"/>
      <c r="BU40" s="272"/>
      <c r="BV40" s="292"/>
      <c r="BW40" s="292"/>
      <c r="BX40" s="292"/>
      <c r="BY40" s="292"/>
      <c r="BZ40" s="292"/>
      <c r="CA40" s="292"/>
      <c r="CB40" s="272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7"/>
      <c r="EL40" s="237"/>
      <c r="EM40" s="237"/>
      <c r="EN40" s="237"/>
      <c r="EO40" s="237"/>
      <c r="EP40" s="237"/>
      <c r="EQ40" s="237"/>
      <c r="ER40" s="237"/>
      <c r="ES40" s="237"/>
      <c r="ET40" s="237"/>
      <c r="EU40" s="237"/>
      <c r="EV40" s="237"/>
      <c r="EW40" s="237"/>
      <c r="EX40" s="237"/>
      <c r="EY40" s="237"/>
      <c r="EZ40" s="237"/>
      <c r="FA40" s="237"/>
      <c r="FB40" s="237"/>
      <c r="FC40" s="237"/>
      <c r="FD40" s="237"/>
      <c r="FE40" s="237"/>
      <c r="FF40" s="237"/>
      <c r="FG40" s="237"/>
      <c r="FH40" s="237"/>
      <c r="FI40" s="237"/>
      <c r="FJ40" s="237"/>
      <c r="FK40" s="237"/>
      <c r="FL40" s="237"/>
      <c r="FM40" s="237"/>
      <c r="FN40" s="237"/>
      <c r="FO40" s="237"/>
    </row>
    <row r="41" spans="1:172" s="234" customFormat="1" ht="15" customHeight="1">
      <c r="A41" s="842" t="str">
        <f>'plan i år'!A41</f>
        <v>Hull i turnus/ ikke besatte stillinger (oppgi antall årsverk)</v>
      </c>
      <c r="B41" s="843">
        <f>'plan i år'!B41</f>
        <v>0</v>
      </c>
      <c r="C41" s="843">
        <f>'plan i år'!C41</f>
        <v>0</v>
      </c>
      <c r="D41" s="843">
        <f>'plan i år'!D41</f>
        <v>0</v>
      </c>
      <c r="E41" s="844">
        <f>'plan i år'!E41</f>
        <v>0</v>
      </c>
      <c r="F41" s="237"/>
      <c r="H41" s="512"/>
      <c r="I41" s="513"/>
      <c r="J41" s="513"/>
      <c r="K41" s="514"/>
      <c r="L41" s="845">
        <f>-SUM(L35:L38)+L42</f>
        <v>4</v>
      </c>
      <c r="M41" s="845"/>
      <c r="N41" s="598"/>
      <c r="O41" s="295" t="str">
        <f>O36</f>
        <v>Vikarer etc</v>
      </c>
      <c r="P41" s="515"/>
      <c r="Q41" s="516"/>
      <c r="R41" s="516"/>
      <c r="S41" s="516"/>
      <c r="T41" s="516"/>
      <c r="U41" s="511">
        <f>U36/(F43+1E-27)</f>
        <v>0.33333333333333331</v>
      </c>
      <c r="V41" s="600"/>
      <c r="W41" s="618" t="str">
        <f>'plan i år'!W41</f>
        <v>Antall årsverk ikke besatte stillinger/ hull i turnus</v>
      </c>
      <c r="X41" s="482"/>
      <c r="Y41" s="482"/>
      <c r="Z41" s="482"/>
      <c r="AA41" s="619">
        <f>'plan i år'!AA41</f>
        <v>0.72</v>
      </c>
      <c r="AB41" s="295"/>
      <c r="AC41" s="296"/>
      <c r="AD41" s="296"/>
      <c r="AE41" s="237"/>
      <c r="AF41" s="260"/>
      <c r="AG41" s="260"/>
      <c r="AH41" s="260"/>
      <c r="AI41" s="260"/>
      <c r="AJ41" s="260"/>
      <c r="AK41" s="260"/>
      <c r="AL41" s="260"/>
      <c r="AM41" s="289"/>
      <c r="AN41" s="289"/>
      <c r="AO41" s="289"/>
      <c r="AP41" s="289"/>
      <c r="AQ41" s="290"/>
      <c r="AR41" s="231"/>
      <c r="AS41" s="290"/>
      <c r="AT41" s="291"/>
      <c r="AU41" s="292"/>
      <c r="AV41" s="290"/>
      <c r="AW41" s="290"/>
      <c r="AX41" s="293"/>
      <c r="AY41" s="292"/>
      <c r="BA41" s="237"/>
      <c r="BB41" s="237"/>
      <c r="BC41" s="290"/>
      <c r="BD41" s="290"/>
      <c r="BE41" s="290"/>
      <c r="BF41" s="290"/>
      <c r="BG41" s="290"/>
      <c r="BH41" s="290"/>
      <c r="BI41" s="290"/>
      <c r="BJ41" s="290"/>
      <c r="BK41" s="290"/>
      <c r="BL41" s="290"/>
      <c r="BM41" s="290"/>
      <c r="BN41" s="290"/>
      <c r="BO41" s="290"/>
      <c r="BP41" s="290"/>
      <c r="BQ41" s="237"/>
      <c r="BR41" s="272"/>
      <c r="BS41" s="292"/>
      <c r="BT41" s="272"/>
      <c r="BU41" s="272"/>
      <c r="BV41" s="292"/>
      <c r="BW41" s="292"/>
      <c r="BX41" s="292"/>
      <c r="BY41" s="292"/>
      <c r="BZ41" s="292"/>
      <c r="CA41" s="292"/>
      <c r="CB41" s="272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7"/>
      <c r="EL41" s="237"/>
      <c r="EM41" s="237"/>
      <c r="EN41" s="237"/>
      <c r="EO41" s="237"/>
      <c r="EP41" s="237"/>
      <c r="EQ41" s="237"/>
      <c r="ER41" s="237"/>
      <c r="ES41" s="237"/>
      <c r="ET41" s="237"/>
      <c r="EU41" s="237"/>
      <c r="EV41" s="237"/>
      <c r="EW41" s="237"/>
      <c r="EX41" s="237"/>
      <c r="EY41" s="237"/>
      <c r="EZ41" s="237"/>
      <c r="FA41" s="237"/>
      <c r="FB41" s="237"/>
      <c r="FC41" s="237"/>
      <c r="FD41" s="237"/>
      <c r="FE41" s="237"/>
      <c r="FF41" s="237"/>
      <c r="FG41" s="237"/>
      <c r="FH41" s="237"/>
      <c r="FI41" s="237"/>
      <c r="FJ41" s="237"/>
      <c r="FK41" s="237"/>
      <c r="FL41" s="237"/>
      <c r="FM41" s="237"/>
      <c r="FN41" s="237"/>
      <c r="FO41" s="237"/>
    </row>
    <row r="42" spans="1:172" s="234" customFormat="1" ht="15.75">
      <c r="A42" s="823" t="s">
        <v>155</v>
      </c>
      <c r="B42" s="824"/>
      <c r="C42" s="824"/>
      <c r="D42" s="824"/>
      <c r="E42" s="824"/>
      <c r="F42" s="824"/>
      <c r="G42" s="824"/>
      <c r="H42" s="824"/>
      <c r="I42" s="824"/>
      <c r="J42" s="824"/>
      <c r="K42" s="825"/>
      <c r="L42" s="832">
        <f>SUM(F25:I25)*2</f>
        <v>18</v>
      </c>
      <c r="M42" s="833"/>
      <c r="N42" s="598"/>
      <c r="O42" s="482" t="str">
        <f>O37</f>
        <v>Totalt</v>
      </c>
      <c r="P42" s="483"/>
      <c r="Q42" s="517"/>
      <c r="R42" s="517"/>
      <c r="S42" s="517"/>
      <c r="T42" s="517"/>
      <c r="U42" s="518">
        <f>U37/(SUM(H44:K44)+1E-27)</f>
        <v>0.72413793103448276</v>
      </c>
      <c r="V42" s="600"/>
      <c r="W42" s="295"/>
      <c r="X42" s="295"/>
      <c r="Y42" s="295"/>
      <c r="Z42" s="295"/>
      <c r="AA42" s="295"/>
      <c r="AB42" s="296"/>
      <c r="AC42" s="237"/>
      <c r="AD42" s="260"/>
      <c r="AE42" s="260"/>
      <c r="AF42" s="260"/>
      <c r="AG42" s="260"/>
      <c r="AH42" s="260"/>
      <c r="AI42" s="260"/>
      <c r="AJ42" s="260"/>
      <c r="AK42" s="289"/>
      <c r="AL42" s="289"/>
      <c r="AM42" s="289"/>
      <c r="AN42" s="289"/>
      <c r="AO42" s="290"/>
      <c r="AP42" s="231"/>
      <c r="AQ42" s="290"/>
      <c r="AR42" s="291"/>
      <c r="AS42" s="292"/>
      <c r="AT42" s="290"/>
      <c r="AU42" s="290"/>
      <c r="AV42" s="293"/>
      <c r="AW42" s="292"/>
      <c r="AY42" s="237"/>
      <c r="AZ42" s="237"/>
      <c r="BA42" s="290"/>
      <c r="BB42" s="290"/>
      <c r="BC42" s="290"/>
      <c r="BD42" s="290"/>
      <c r="BE42" s="290"/>
      <c r="BF42" s="290"/>
      <c r="BG42" s="290"/>
      <c r="BH42" s="290"/>
      <c r="BI42" s="290"/>
      <c r="BJ42" s="290"/>
      <c r="BK42" s="290"/>
      <c r="BL42" s="290"/>
      <c r="BM42" s="290"/>
      <c r="BN42" s="290"/>
      <c r="BO42" s="237"/>
      <c r="BP42" s="272"/>
      <c r="BQ42" s="292"/>
      <c r="BR42" s="272"/>
      <c r="BS42" s="272"/>
      <c r="BT42" s="292"/>
      <c r="BU42" s="292"/>
      <c r="BV42" s="292"/>
      <c r="BW42" s="292"/>
      <c r="BX42" s="292"/>
      <c r="BY42" s="292"/>
      <c r="BZ42" s="272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7"/>
      <c r="EL42" s="237"/>
      <c r="EM42" s="237"/>
      <c r="EN42" s="237"/>
      <c r="EO42" s="237"/>
      <c r="EP42" s="237"/>
      <c r="EQ42" s="237"/>
      <c r="ER42" s="237"/>
      <c r="ES42" s="237"/>
      <c r="ET42" s="237"/>
      <c r="EU42" s="237"/>
      <c r="EV42" s="237"/>
      <c r="EW42" s="237"/>
      <c r="EX42" s="237"/>
      <c r="EY42" s="237"/>
      <c r="EZ42" s="237"/>
      <c r="FA42" s="237"/>
      <c r="FB42" s="237"/>
      <c r="FC42" s="237"/>
      <c r="FD42" s="237"/>
      <c r="FE42" s="237"/>
      <c r="FF42" s="237"/>
      <c r="FG42" s="237"/>
      <c r="FH42" s="237"/>
      <c r="FI42" s="237"/>
      <c r="FJ42" s="237"/>
      <c r="FK42" s="237"/>
      <c r="FL42" s="237"/>
      <c r="FM42" s="237"/>
    </row>
    <row r="43" spans="1:172">
      <c r="A43" s="834" t="s">
        <v>160</v>
      </c>
      <c r="B43" s="835"/>
      <c r="C43" s="835"/>
      <c r="D43" s="835"/>
      <c r="E43" s="836"/>
      <c r="F43" s="828">
        <f>'plan i år'!F43</f>
        <v>9</v>
      </c>
      <c r="G43" s="828">
        <f>'plan i år'!G43</f>
        <v>0</v>
      </c>
      <c r="H43" s="488">
        <f>'plan i år'!H43</f>
        <v>4</v>
      </c>
      <c r="I43" s="489"/>
      <c r="J43" s="489"/>
      <c r="K43" s="490">
        <f t="shared" ref="K43" si="7">F43-SUM(H43:J43)</f>
        <v>5</v>
      </c>
      <c r="L43" s="499"/>
      <c r="M43" s="499"/>
      <c r="N43" s="599"/>
      <c r="V43" s="599"/>
      <c r="W43" s="295"/>
      <c r="X43" s="295"/>
      <c r="Y43" s="295"/>
      <c r="Z43" s="295"/>
      <c r="AA43" s="295"/>
    </row>
    <row r="44" spans="1:172">
      <c r="A44" s="823" t="s">
        <v>161</v>
      </c>
      <c r="B44" s="824"/>
      <c r="C44" s="824"/>
      <c r="D44" s="824"/>
      <c r="E44" s="825"/>
      <c r="F44" s="826">
        <f>F40+F43</f>
        <v>29</v>
      </c>
      <c r="G44" s="827"/>
      <c r="H44" s="503">
        <f>H40+H43</f>
        <v>8</v>
      </c>
      <c r="I44" s="504">
        <f t="shared" ref="I44:K44" si="8">I40+I43</f>
        <v>2</v>
      </c>
      <c r="J44" s="504">
        <f t="shared" si="8"/>
        <v>0</v>
      </c>
      <c r="K44" s="505">
        <f t="shared" si="8"/>
        <v>19</v>
      </c>
    </row>
    <row r="45" spans="1:172">
      <c r="A45" s="780" t="str">
        <f>'I fjor'!A31:AA31</f>
        <v>Ansatte og vikarer. Hvor mange hadde ulik stillingsprosent, går i ulike type turnus. I hvilken grad fyller de kvalifikasjonskravene?</v>
      </c>
      <c r="B45" s="781"/>
      <c r="C45" s="781"/>
      <c r="D45" s="781"/>
      <c r="E45" s="781"/>
      <c r="F45" s="781"/>
      <c r="G45" s="781"/>
      <c r="H45" s="781"/>
      <c r="I45" s="781"/>
      <c r="J45" s="781"/>
      <c r="K45" s="781"/>
      <c r="L45" s="781"/>
      <c r="M45" s="781"/>
      <c r="N45" s="781"/>
      <c r="O45" s="781"/>
      <c r="P45" s="781"/>
      <c r="Q45" s="781"/>
      <c r="R45" s="781"/>
      <c r="S45" s="781"/>
      <c r="T45" s="781"/>
      <c r="U45" s="781"/>
      <c r="V45" s="781"/>
      <c r="W45" s="781"/>
      <c r="X45" s="781"/>
      <c r="Y45" s="781"/>
      <c r="Z45" s="781"/>
      <c r="AA45" s="782"/>
    </row>
    <row r="46" spans="1:172" ht="27.75" customHeight="1">
      <c r="A46" s="783"/>
      <c r="B46" s="784"/>
      <c r="C46" s="784"/>
      <c r="D46" s="784"/>
      <c r="E46" s="785"/>
      <c r="F46" s="792" t="str">
        <f>'I fjor'!F46:J46</f>
        <v>Forutsetninger brukt i beregningene (kommer fra data ovenfor i arket)</v>
      </c>
      <c r="G46" s="793"/>
      <c r="H46" s="793"/>
      <c r="I46" s="793"/>
      <c r="J46" s="794"/>
      <c r="K46" s="792" t="str">
        <f>'I fjor'!K46:O46</f>
        <v>Anslag tidsforbruk</v>
      </c>
      <c r="L46" s="793"/>
      <c r="M46" s="793"/>
      <c r="N46" s="793"/>
      <c r="O46" s="793"/>
      <c r="P46" s="795"/>
      <c r="Q46" s="792" t="str">
        <f>'I fjor'!Q46:U46</f>
        <v>Beregnet bruk av ressurser pr år</v>
      </c>
      <c r="R46" s="793"/>
      <c r="S46" s="793"/>
      <c r="T46" s="793"/>
      <c r="U46" s="794"/>
    </row>
    <row r="47" spans="1:172" ht="41.25" customHeight="1">
      <c r="A47" s="786"/>
      <c r="B47" s="787"/>
      <c r="C47" s="787"/>
      <c r="D47" s="787"/>
      <c r="E47" s="788"/>
      <c r="F47" s="798" t="str">
        <f>'I fjor'!F47:H47</f>
        <v>Antall vakter det må leies inn til pr. år</v>
      </c>
      <c r="G47" s="799"/>
      <c r="H47" s="800"/>
      <c r="I47" s="815" t="str">
        <f>'I fjor'!I47:I48</f>
        <v>Antall ansatte</v>
      </c>
      <c r="J47" s="801" t="str">
        <f>'I fjor'!J47:J48</f>
        <v>Antall nytil-settinger</v>
      </c>
      <c r="K47" s="798" t="str">
        <f>'I fjor'!K47:L47</f>
        <v>Anslått tidsforbruk pr. vakt</v>
      </c>
      <c r="L47" s="799"/>
      <c r="M47" s="817" t="str">
        <f>'I fjor'!M47:N48</f>
        <v xml:space="preserve">Gjennomsnittlig antall timer pr. uke avsatt i turnusplan </v>
      </c>
      <c r="N47" s="818"/>
      <c r="O47" s="821" t="str">
        <f>'I fjor'!O47:O48</f>
        <v>Anslått timer pr år brukt til tilsetting</v>
      </c>
      <c r="P47" s="796"/>
      <c r="Q47" s="801" t="str">
        <f>'I fjor'!Q47:Q48</f>
        <v>Timer</v>
      </c>
      <c r="R47" s="798" t="str">
        <f>'I fjor'!R47:S47</f>
        <v>For de som utfører arbeidet</v>
      </c>
      <c r="S47" s="800"/>
      <c r="T47" s="815" t="str">
        <f>'I fjor'!T47:T48</f>
        <v>Bereg-net time-lønn</v>
      </c>
      <c r="U47" s="801" t="str">
        <f>'I fjor'!U47:U48</f>
        <v>Lønnsutgifter inkl arb avgift og pensjon</v>
      </c>
      <c r="W47" s="801" t="str">
        <f>'I fjor'!W47:W48</f>
        <v>Timer pr år</v>
      </c>
    </row>
    <row r="48" spans="1:172" ht="38.25" customHeight="1">
      <c r="A48" s="789"/>
      <c r="B48" s="790"/>
      <c r="C48" s="790"/>
      <c r="D48" s="790"/>
      <c r="E48" s="791"/>
      <c r="F48" s="519" t="str">
        <f>'I fjor'!F48</f>
        <v>Korttids-fravær</v>
      </c>
      <c r="G48" s="520" t="str">
        <f>'I fjor'!G48</f>
        <v>Annen innleie</v>
      </c>
      <c r="H48" s="521" t="str">
        <f>'I fjor'!H48</f>
        <v>Totalt</v>
      </c>
      <c r="I48" s="816"/>
      <c r="J48" s="802"/>
      <c r="K48" s="464" t="str">
        <f>F48</f>
        <v>Korttids-fravær</v>
      </c>
      <c r="L48" s="464" t="str">
        <f>G48</f>
        <v>Annen innleie</v>
      </c>
      <c r="M48" s="819"/>
      <c r="N48" s="820"/>
      <c r="O48" s="822"/>
      <c r="P48" s="796"/>
      <c r="Q48" s="802"/>
      <c r="R48" s="522" t="str">
        <f>'I fjor'!R48</f>
        <v>Gjennom-snittlig grunnlønn</v>
      </c>
      <c r="S48" s="522" t="str">
        <f>Z21</f>
        <v>Arbeidstid pr uke</v>
      </c>
      <c r="T48" s="816"/>
      <c r="U48" s="802"/>
      <c r="W48" s="802"/>
    </row>
    <row r="49" spans="1:23" ht="22.5" customHeight="1">
      <c r="A49" s="803" t="str">
        <f>'I fjor'!A49:E49</f>
        <v>Fylle bemanningsplan (ringe, sende SMS etc)</v>
      </c>
      <c r="B49" s="804"/>
      <c r="C49" s="804"/>
      <c r="D49" s="804"/>
      <c r="E49" s="805"/>
      <c r="F49" s="295">
        <f>P30*AE29*AE30/7.5*Q30</f>
        <v>131.4938176</v>
      </c>
      <c r="G49" s="289">
        <f>H49-F49</f>
        <v>806.00618239999994</v>
      </c>
      <c r="H49" s="523">
        <f>+W29</f>
        <v>937.5</v>
      </c>
      <c r="I49" s="806"/>
      <c r="J49" s="807"/>
      <c r="K49" s="524">
        <f>'plan i år'!K49</f>
        <v>1</v>
      </c>
      <c r="L49" s="525">
        <f>'plan i år'!L49</f>
        <v>1</v>
      </c>
      <c r="M49" s="526"/>
      <c r="N49" s="526"/>
      <c r="P49" s="796"/>
      <c r="Q49" s="289">
        <f>SUMPRODUCT($F$49:$G$49,K49:L49)</f>
        <v>937.5</v>
      </c>
      <c r="R49" s="527">
        <f>'plan i år'!R49</f>
        <v>420</v>
      </c>
      <c r="S49" s="528">
        <f>'plan i år'!S49</f>
        <v>37.5</v>
      </c>
      <c r="T49" s="263">
        <f>R49*(1+$M$16)*(1+$M$15)/W49*1000</f>
        <v>328.53008695652181</v>
      </c>
      <c r="U49" s="523">
        <f>Q49*T49/1000</f>
        <v>307.99695652173921</v>
      </c>
      <c r="W49" s="593">
        <f>S49*46</f>
        <v>1725</v>
      </c>
    </row>
    <row r="50" spans="1:23">
      <c r="A50" s="808" t="str">
        <f>'I fjor'!A50:H50</f>
        <v>Tidsbruk ansatte har avsatt i turnusplanen til turnusoppsett etc</v>
      </c>
      <c r="B50" s="809"/>
      <c r="C50" s="809"/>
      <c r="D50" s="809"/>
      <c r="E50" s="809"/>
      <c r="F50" s="809"/>
      <c r="G50" s="809"/>
      <c r="H50" s="810"/>
      <c r="I50" s="530">
        <f>F40</f>
        <v>20</v>
      </c>
      <c r="J50" s="772"/>
      <c r="K50" s="773"/>
      <c r="L50" s="774"/>
      <c r="M50" s="811">
        <f>'plan i år'!M50</f>
        <v>0</v>
      </c>
      <c r="N50" s="812">
        <f>'plan i år'!N50</f>
        <v>0</v>
      </c>
      <c r="P50" s="796"/>
      <c r="Q50" s="531">
        <f>I50*M50*52</f>
        <v>0</v>
      </c>
      <c r="R50" s="621">
        <f>W25</f>
        <v>430.44499999999999</v>
      </c>
      <c r="S50" s="532">
        <f>Z25</f>
        <v>35.5</v>
      </c>
      <c r="T50" s="467">
        <f t="shared" ref="T50:T52" si="9">R50*(1+$M$16)*(1+$M$15)/W50*1000</f>
        <v>355.66934929577462</v>
      </c>
      <c r="U50" s="467">
        <f t="shared" ref="U50:U52" si="10">Q50*T50/1000</f>
        <v>0</v>
      </c>
      <c r="W50" s="593">
        <f t="shared" ref="W50:W52" si="11">S50*46</f>
        <v>1633</v>
      </c>
    </row>
    <row r="51" spans="1:23">
      <c r="A51" s="808" t="str">
        <f>'I fjor'!A51:H51</f>
        <v>Personal- og ledelsesarbeid ansatte</v>
      </c>
      <c r="B51" s="809"/>
      <c r="C51" s="809"/>
      <c r="D51" s="809"/>
      <c r="E51" s="809"/>
      <c r="F51" s="809"/>
      <c r="G51" s="809"/>
      <c r="H51" s="810"/>
      <c r="I51" s="533">
        <f>F40</f>
        <v>20</v>
      </c>
      <c r="J51" s="772"/>
      <c r="K51" s="773"/>
      <c r="L51" s="773"/>
      <c r="M51" s="773"/>
      <c r="N51" s="774"/>
      <c r="O51" s="534">
        <f>'plan i år'!O51</f>
        <v>40</v>
      </c>
      <c r="P51" s="796"/>
      <c r="Q51" s="531">
        <f>I51*O51</f>
        <v>800</v>
      </c>
      <c r="R51" s="534">
        <f>'plan i år'!R51</f>
        <v>530</v>
      </c>
      <c r="S51" s="528">
        <f>'plan i år'!S51</f>
        <v>37.5</v>
      </c>
      <c r="T51" s="467">
        <f t="shared" si="9"/>
        <v>414.57368115942035</v>
      </c>
      <c r="U51" s="467">
        <f t="shared" si="10"/>
        <v>331.65894492753631</v>
      </c>
      <c r="W51" s="593">
        <f t="shared" si="11"/>
        <v>1725</v>
      </c>
    </row>
    <row r="52" spans="1:23">
      <c r="A52" s="813" t="str">
        <f>'I fjor'!A52:I52</f>
        <v>Personal- og ledelsesarbeid nytilsettinger</v>
      </c>
      <c r="B52" s="813"/>
      <c r="C52" s="813"/>
      <c r="D52" s="813"/>
      <c r="E52" s="813"/>
      <c r="F52" s="813"/>
      <c r="G52" s="813"/>
      <c r="H52" s="813"/>
      <c r="I52" s="814"/>
      <c r="J52" s="535">
        <f>AA29</f>
        <v>2</v>
      </c>
      <c r="K52" s="772"/>
      <c r="L52" s="773"/>
      <c r="M52" s="773"/>
      <c r="N52" s="774"/>
      <c r="O52" s="488">
        <f>'plan i år'!O52</f>
        <v>100</v>
      </c>
      <c r="P52" s="797"/>
      <c r="Q52" s="536">
        <f>J52*O52</f>
        <v>200</v>
      </c>
      <c r="R52" s="537">
        <f>'plan i år'!R52</f>
        <v>500</v>
      </c>
      <c r="S52" s="528">
        <f>'plan i år'!S52</f>
        <v>37.5</v>
      </c>
      <c r="T52" s="277">
        <f t="shared" si="9"/>
        <v>391.10724637681164</v>
      </c>
      <c r="U52" s="523">
        <f t="shared" si="10"/>
        <v>78.221449275362332</v>
      </c>
      <c r="W52" s="594">
        <f t="shared" si="11"/>
        <v>1725</v>
      </c>
    </row>
    <row r="53" spans="1:23">
      <c r="A53" s="851" t="str">
        <f>'I fjor'!A53:S53</f>
        <v>Totalt</v>
      </c>
      <c r="B53" s="876"/>
      <c r="C53" s="876"/>
      <c r="D53" s="876"/>
      <c r="E53" s="876"/>
      <c r="F53" s="876"/>
      <c r="G53" s="876"/>
      <c r="H53" s="876"/>
      <c r="I53" s="876"/>
      <c r="J53" s="876"/>
      <c r="K53" s="876"/>
      <c r="L53" s="876"/>
      <c r="M53" s="876"/>
      <c r="N53" s="876"/>
      <c r="O53" s="876"/>
      <c r="P53" s="876"/>
      <c r="Q53" s="876"/>
      <c r="R53" s="876"/>
      <c r="S53" s="876"/>
      <c r="T53" s="852"/>
      <c r="U53" s="467">
        <f>SUM(U49:U52)</f>
        <v>717.87735072463784</v>
      </c>
    </row>
  </sheetData>
  <sheetProtection sheet="1" objects="1" scenarios="1"/>
  <mergeCells count="114">
    <mergeCell ref="F40:G40"/>
    <mergeCell ref="A53:T53"/>
    <mergeCell ref="A1:AA1"/>
    <mergeCell ref="B2:AA2"/>
    <mergeCell ref="CB2:CB3"/>
    <mergeCell ref="B3:AA3"/>
    <mergeCell ref="A20:AA20"/>
    <mergeCell ref="B21:Q21"/>
    <mergeCell ref="R21:R24"/>
    <mergeCell ref="S21:T22"/>
    <mergeCell ref="U21:V21"/>
    <mergeCell ref="X21:X24"/>
    <mergeCell ref="AR23:AS23"/>
    <mergeCell ref="BR23:BV23"/>
    <mergeCell ref="U24:V24"/>
    <mergeCell ref="B23:E23"/>
    <mergeCell ref="F23:I23"/>
    <mergeCell ref="J23:M23"/>
    <mergeCell ref="N23:Q23"/>
    <mergeCell ref="W21:W22"/>
    <mergeCell ref="S23:T23"/>
    <mergeCell ref="Y21:Y24"/>
    <mergeCell ref="Z21:Z24"/>
    <mergeCell ref="B22:I22"/>
    <mergeCell ref="J22:Q22"/>
    <mergeCell ref="F38:G38"/>
    <mergeCell ref="L38:M38"/>
    <mergeCell ref="A27:AA27"/>
    <mergeCell ref="A28:B28"/>
    <mergeCell ref="M28:M30"/>
    <mergeCell ref="N28:P28"/>
    <mergeCell ref="T28:V28"/>
    <mergeCell ref="Z28:AA28"/>
    <mergeCell ref="A29:B29"/>
    <mergeCell ref="N29:O29"/>
    <mergeCell ref="T29:V29"/>
    <mergeCell ref="A30:B30"/>
    <mergeCell ref="N30:O30"/>
    <mergeCell ref="T30:V30"/>
    <mergeCell ref="W28:X28"/>
    <mergeCell ref="W29:X29"/>
    <mergeCell ref="W30:X30"/>
    <mergeCell ref="I47:I48"/>
    <mergeCell ref="V22:V23"/>
    <mergeCell ref="W23:W24"/>
    <mergeCell ref="W35:AA35"/>
    <mergeCell ref="A31:AA31"/>
    <mergeCell ref="A32:M32"/>
    <mergeCell ref="O32:U32"/>
    <mergeCell ref="W32:AA32"/>
    <mergeCell ref="A33:E34"/>
    <mergeCell ref="F33:G34"/>
    <mergeCell ref="H33:K33"/>
    <mergeCell ref="L33:M34"/>
    <mergeCell ref="O33:U33"/>
    <mergeCell ref="A35:E35"/>
    <mergeCell ref="F35:G35"/>
    <mergeCell ref="L35:M35"/>
    <mergeCell ref="R47:S47"/>
    <mergeCell ref="T47:T48"/>
    <mergeCell ref="U22:U23"/>
    <mergeCell ref="O35:P35"/>
    <mergeCell ref="A36:E36"/>
    <mergeCell ref="F36:G36"/>
    <mergeCell ref="L36:M36"/>
    <mergeCell ref="A38:E38"/>
    <mergeCell ref="J51:N51"/>
    <mergeCell ref="A44:E44"/>
    <mergeCell ref="F44:G44"/>
    <mergeCell ref="O36:P36"/>
    <mergeCell ref="W36:AA37"/>
    <mergeCell ref="A37:E37"/>
    <mergeCell ref="F37:G37"/>
    <mergeCell ref="L37:M37"/>
    <mergeCell ref="O37:P37"/>
    <mergeCell ref="A40:E40"/>
    <mergeCell ref="A45:AA45"/>
    <mergeCell ref="O38:U38"/>
    <mergeCell ref="W38:AA38"/>
    <mergeCell ref="A42:K42"/>
    <mergeCell ref="L42:M42"/>
    <mergeCell ref="A43:E43"/>
    <mergeCell ref="F43:G43"/>
    <mergeCell ref="A39:E39"/>
    <mergeCell ref="A41:E41"/>
    <mergeCell ref="L41:M41"/>
    <mergeCell ref="F39:G39"/>
    <mergeCell ref="A51:H51"/>
    <mergeCell ref="Q46:U46"/>
    <mergeCell ref="F47:H47"/>
    <mergeCell ref="A52:I52"/>
    <mergeCell ref="K52:N52"/>
    <mergeCell ref="A4:AA4"/>
    <mergeCell ref="C5:AA5"/>
    <mergeCell ref="C6:AA6"/>
    <mergeCell ref="C7:AA7"/>
    <mergeCell ref="C8:AA8"/>
    <mergeCell ref="W47:W48"/>
    <mergeCell ref="A49:E49"/>
    <mergeCell ref="I49:J49"/>
    <mergeCell ref="A50:H50"/>
    <mergeCell ref="J50:L50"/>
    <mergeCell ref="M50:N50"/>
    <mergeCell ref="A46:E48"/>
    <mergeCell ref="F46:J46"/>
    <mergeCell ref="K46:O46"/>
    <mergeCell ref="P46:P52"/>
    <mergeCell ref="J47:J48"/>
    <mergeCell ref="K47:L47"/>
    <mergeCell ref="M47:N48"/>
    <mergeCell ref="O47:O48"/>
    <mergeCell ref="Q47:Q48"/>
    <mergeCell ref="U47:U48"/>
    <mergeCell ref="AA21:AA23"/>
  </mergeCells>
  <pageMargins left="0.7" right="0.7" top="0.75" bottom="0.75" header="0.3" footer="0.3"/>
  <pageSetup paperSize="9" orientation="portrait" r:id="rId1"/>
  <ignoredErrors>
    <ignoredError sqref="B25:I26 J25:Q26 A29:AA29 A46:U52 M15:Z15 M28:AA28 A36:K38 O32:AA34 O35:AA37 D24:P24 A42:M42 A40:E40 L40:M40 O39:AA39 O38:V38 S26:Z26 B39:E39 O42:AA43 O40:P40 V40:AA40 K39:M39 A31:AA31 A30:V30 X30:AA30 B35:K35 A43:E43 I43:M43 F41 H41:M41 S25 W25:Z25 O41:V41 X41:Z41 M18:Z19 M17:W17 Y17:Z17 N16:Z16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transitionEvaluation="1">
    <pageSetUpPr fitToPage="1"/>
  </sheetPr>
  <dimension ref="A1:GA63"/>
  <sheetViews>
    <sheetView workbookViewId="0"/>
  </sheetViews>
  <sheetFormatPr baseColWidth="10" defaultColWidth="11.42578125" defaultRowHeight="15"/>
  <cols>
    <col min="1" max="1" width="14.85546875" style="1" customWidth="1"/>
    <col min="2" max="2" width="11.28515625" style="1" customWidth="1"/>
    <col min="3" max="3" width="12.5703125" style="212" customWidth="1"/>
    <col min="4" max="4" width="6.85546875" style="3" customWidth="1"/>
    <col min="5" max="6" width="7" style="1" customWidth="1"/>
    <col min="7" max="12" width="6.140625" style="1" customWidth="1"/>
    <col min="13" max="14" width="7" style="1" customWidth="1"/>
    <col min="15" max="16" width="6.85546875" style="1" customWidth="1"/>
    <col min="17" max="19" width="6.140625" style="1" customWidth="1"/>
    <col min="20" max="20" width="11.7109375" style="1" customWidth="1"/>
    <col min="21" max="21" width="4.85546875" style="1" customWidth="1"/>
    <col min="22" max="23" width="6.140625" style="1" customWidth="1"/>
    <col min="24" max="24" width="6.85546875" style="1" customWidth="1"/>
    <col min="25" max="27" width="7.42578125" style="1" customWidth="1"/>
    <col min="28" max="31" width="6.140625" style="1" customWidth="1"/>
    <col min="32" max="33" width="7.42578125" style="1" customWidth="1"/>
    <col min="34" max="38" width="6.140625" style="1" customWidth="1"/>
    <col min="39" max="40" width="7.42578125" style="1" customWidth="1"/>
    <col min="41" max="41" width="12.5703125" style="2" customWidth="1"/>
    <col min="42" max="47" width="11.42578125" style="1" customWidth="1"/>
    <col min="48" max="48" width="12.5703125" style="2" customWidth="1"/>
    <col min="49" max="50" width="12.5703125" style="3" customWidth="1"/>
    <col min="51" max="60" width="11.42578125" style="1" customWidth="1"/>
    <col min="61" max="61" width="12.5703125" style="2" customWidth="1"/>
    <col min="62" max="78" width="11.42578125" style="1" customWidth="1"/>
    <col min="79" max="79" width="12.5703125" style="2" customWidth="1"/>
    <col min="80" max="256" width="11.42578125" style="1"/>
    <col min="257" max="257" width="14.85546875" style="1" customWidth="1"/>
    <col min="258" max="258" width="11.28515625" style="1" customWidth="1"/>
    <col min="259" max="259" width="12.5703125" style="1" customWidth="1"/>
    <col min="260" max="260" width="6.85546875" style="1" customWidth="1"/>
    <col min="261" max="262" width="7" style="1" customWidth="1"/>
    <col min="263" max="268" width="6.140625" style="1" customWidth="1"/>
    <col min="269" max="270" width="7" style="1" customWidth="1"/>
    <col min="271" max="272" width="6.85546875" style="1" customWidth="1"/>
    <col min="273" max="275" width="6.140625" style="1" customWidth="1"/>
    <col min="276" max="276" width="11.7109375" style="1" customWidth="1"/>
    <col min="277" max="277" width="4.85546875" style="1" customWidth="1"/>
    <col min="278" max="279" width="6.140625" style="1" customWidth="1"/>
    <col min="280" max="280" width="6.85546875" style="1" customWidth="1"/>
    <col min="281" max="283" width="7.42578125" style="1" customWidth="1"/>
    <col min="284" max="287" width="6.140625" style="1" customWidth="1"/>
    <col min="288" max="289" width="7.42578125" style="1" customWidth="1"/>
    <col min="290" max="294" width="6.140625" style="1" customWidth="1"/>
    <col min="295" max="296" width="7.42578125" style="1" customWidth="1"/>
    <col min="297" max="297" width="12.5703125" style="1" customWidth="1"/>
    <col min="298" max="303" width="11.42578125" style="1" customWidth="1"/>
    <col min="304" max="306" width="12.5703125" style="1" customWidth="1"/>
    <col min="307" max="316" width="11.42578125" style="1" customWidth="1"/>
    <col min="317" max="317" width="12.5703125" style="1" customWidth="1"/>
    <col min="318" max="334" width="11.42578125" style="1" customWidth="1"/>
    <col min="335" max="335" width="12.5703125" style="1" customWidth="1"/>
    <col min="336" max="512" width="11.42578125" style="1"/>
    <col min="513" max="513" width="14.85546875" style="1" customWidth="1"/>
    <col min="514" max="514" width="11.28515625" style="1" customWidth="1"/>
    <col min="515" max="515" width="12.5703125" style="1" customWidth="1"/>
    <col min="516" max="516" width="6.85546875" style="1" customWidth="1"/>
    <col min="517" max="518" width="7" style="1" customWidth="1"/>
    <col min="519" max="524" width="6.140625" style="1" customWidth="1"/>
    <col min="525" max="526" width="7" style="1" customWidth="1"/>
    <col min="527" max="528" width="6.85546875" style="1" customWidth="1"/>
    <col min="529" max="531" width="6.140625" style="1" customWidth="1"/>
    <col min="532" max="532" width="11.7109375" style="1" customWidth="1"/>
    <col min="533" max="533" width="4.85546875" style="1" customWidth="1"/>
    <col min="534" max="535" width="6.140625" style="1" customWidth="1"/>
    <col min="536" max="536" width="6.85546875" style="1" customWidth="1"/>
    <col min="537" max="539" width="7.42578125" style="1" customWidth="1"/>
    <col min="540" max="543" width="6.140625" style="1" customWidth="1"/>
    <col min="544" max="545" width="7.42578125" style="1" customWidth="1"/>
    <col min="546" max="550" width="6.140625" style="1" customWidth="1"/>
    <col min="551" max="552" width="7.42578125" style="1" customWidth="1"/>
    <col min="553" max="553" width="12.5703125" style="1" customWidth="1"/>
    <col min="554" max="559" width="11.42578125" style="1" customWidth="1"/>
    <col min="560" max="562" width="12.5703125" style="1" customWidth="1"/>
    <col min="563" max="572" width="11.42578125" style="1" customWidth="1"/>
    <col min="573" max="573" width="12.5703125" style="1" customWidth="1"/>
    <col min="574" max="590" width="11.42578125" style="1" customWidth="1"/>
    <col min="591" max="591" width="12.5703125" style="1" customWidth="1"/>
    <col min="592" max="768" width="11.42578125" style="1"/>
    <col min="769" max="769" width="14.85546875" style="1" customWidth="1"/>
    <col min="770" max="770" width="11.28515625" style="1" customWidth="1"/>
    <col min="771" max="771" width="12.5703125" style="1" customWidth="1"/>
    <col min="772" max="772" width="6.85546875" style="1" customWidth="1"/>
    <col min="773" max="774" width="7" style="1" customWidth="1"/>
    <col min="775" max="780" width="6.140625" style="1" customWidth="1"/>
    <col min="781" max="782" width="7" style="1" customWidth="1"/>
    <col min="783" max="784" width="6.85546875" style="1" customWidth="1"/>
    <col min="785" max="787" width="6.140625" style="1" customWidth="1"/>
    <col min="788" max="788" width="11.7109375" style="1" customWidth="1"/>
    <col min="789" max="789" width="4.85546875" style="1" customWidth="1"/>
    <col min="790" max="791" width="6.140625" style="1" customWidth="1"/>
    <col min="792" max="792" width="6.85546875" style="1" customWidth="1"/>
    <col min="793" max="795" width="7.42578125" style="1" customWidth="1"/>
    <col min="796" max="799" width="6.140625" style="1" customWidth="1"/>
    <col min="800" max="801" width="7.42578125" style="1" customWidth="1"/>
    <col min="802" max="806" width="6.140625" style="1" customWidth="1"/>
    <col min="807" max="808" width="7.42578125" style="1" customWidth="1"/>
    <col min="809" max="809" width="12.5703125" style="1" customWidth="1"/>
    <col min="810" max="815" width="11.42578125" style="1" customWidth="1"/>
    <col min="816" max="818" width="12.5703125" style="1" customWidth="1"/>
    <col min="819" max="828" width="11.42578125" style="1" customWidth="1"/>
    <col min="829" max="829" width="12.5703125" style="1" customWidth="1"/>
    <col min="830" max="846" width="11.42578125" style="1" customWidth="1"/>
    <col min="847" max="847" width="12.5703125" style="1" customWidth="1"/>
    <col min="848" max="1024" width="11.42578125" style="1"/>
    <col min="1025" max="1025" width="14.85546875" style="1" customWidth="1"/>
    <col min="1026" max="1026" width="11.28515625" style="1" customWidth="1"/>
    <col min="1027" max="1027" width="12.5703125" style="1" customWidth="1"/>
    <col min="1028" max="1028" width="6.85546875" style="1" customWidth="1"/>
    <col min="1029" max="1030" width="7" style="1" customWidth="1"/>
    <col min="1031" max="1036" width="6.140625" style="1" customWidth="1"/>
    <col min="1037" max="1038" width="7" style="1" customWidth="1"/>
    <col min="1039" max="1040" width="6.85546875" style="1" customWidth="1"/>
    <col min="1041" max="1043" width="6.140625" style="1" customWidth="1"/>
    <col min="1044" max="1044" width="11.7109375" style="1" customWidth="1"/>
    <col min="1045" max="1045" width="4.85546875" style="1" customWidth="1"/>
    <col min="1046" max="1047" width="6.140625" style="1" customWidth="1"/>
    <col min="1048" max="1048" width="6.85546875" style="1" customWidth="1"/>
    <col min="1049" max="1051" width="7.42578125" style="1" customWidth="1"/>
    <col min="1052" max="1055" width="6.140625" style="1" customWidth="1"/>
    <col min="1056" max="1057" width="7.42578125" style="1" customWidth="1"/>
    <col min="1058" max="1062" width="6.140625" style="1" customWidth="1"/>
    <col min="1063" max="1064" width="7.42578125" style="1" customWidth="1"/>
    <col min="1065" max="1065" width="12.5703125" style="1" customWidth="1"/>
    <col min="1066" max="1071" width="11.42578125" style="1" customWidth="1"/>
    <col min="1072" max="1074" width="12.5703125" style="1" customWidth="1"/>
    <col min="1075" max="1084" width="11.42578125" style="1" customWidth="1"/>
    <col min="1085" max="1085" width="12.5703125" style="1" customWidth="1"/>
    <col min="1086" max="1102" width="11.42578125" style="1" customWidth="1"/>
    <col min="1103" max="1103" width="12.5703125" style="1" customWidth="1"/>
    <col min="1104" max="1280" width="11.42578125" style="1"/>
    <col min="1281" max="1281" width="14.85546875" style="1" customWidth="1"/>
    <col min="1282" max="1282" width="11.28515625" style="1" customWidth="1"/>
    <col min="1283" max="1283" width="12.5703125" style="1" customWidth="1"/>
    <col min="1284" max="1284" width="6.85546875" style="1" customWidth="1"/>
    <col min="1285" max="1286" width="7" style="1" customWidth="1"/>
    <col min="1287" max="1292" width="6.140625" style="1" customWidth="1"/>
    <col min="1293" max="1294" width="7" style="1" customWidth="1"/>
    <col min="1295" max="1296" width="6.85546875" style="1" customWidth="1"/>
    <col min="1297" max="1299" width="6.140625" style="1" customWidth="1"/>
    <col min="1300" max="1300" width="11.7109375" style="1" customWidth="1"/>
    <col min="1301" max="1301" width="4.85546875" style="1" customWidth="1"/>
    <col min="1302" max="1303" width="6.140625" style="1" customWidth="1"/>
    <col min="1304" max="1304" width="6.85546875" style="1" customWidth="1"/>
    <col min="1305" max="1307" width="7.42578125" style="1" customWidth="1"/>
    <col min="1308" max="1311" width="6.140625" style="1" customWidth="1"/>
    <col min="1312" max="1313" width="7.42578125" style="1" customWidth="1"/>
    <col min="1314" max="1318" width="6.140625" style="1" customWidth="1"/>
    <col min="1319" max="1320" width="7.42578125" style="1" customWidth="1"/>
    <col min="1321" max="1321" width="12.5703125" style="1" customWidth="1"/>
    <col min="1322" max="1327" width="11.42578125" style="1" customWidth="1"/>
    <col min="1328" max="1330" width="12.5703125" style="1" customWidth="1"/>
    <col min="1331" max="1340" width="11.42578125" style="1" customWidth="1"/>
    <col min="1341" max="1341" width="12.5703125" style="1" customWidth="1"/>
    <col min="1342" max="1358" width="11.42578125" style="1" customWidth="1"/>
    <col min="1359" max="1359" width="12.5703125" style="1" customWidth="1"/>
    <col min="1360" max="1536" width="11.42578125" style="1"/>
    <col min="1537" max="1537" width="14.85546875" style="1" customWidth="1"/>
    <col min="1538" max="1538" width="11.28515625" style="1" customWidth="1"/>
    <col min="1539" max="1539" width="12.5703125" style="1" customWidth="1"/>
    <col min="1540" max="1540" width="6.85546875" style="1" customWidth="1"/>
    <col min="1541" max="1542" width="7" style="1" customWidth="1"/>
    <col min="1543" max="1548" width="6.140625" style="1" customWidth="1"/>
    <col min="1549" max="1550" width="7" style="1" customWidth="1"/>
    <col min="1551" max="1552" width="6.85546875" style="1" customWidth="1"/>
    <col min="1553" max="1555" width="6.140625" style="1" customWidth="1"/>
    <col min="1556" max="1556" width="11.7109375" style="1" customWidth="1"/>
    <col min="1557" max="1557" width="4.85546875" style="1" customWidth="1"/>
    <col min="1558" max="1559" width="6.140625" style="1" customWidth="1"/>
    <col min="1560" max="1560" width="6.85546875" style="1" customWidth="1"/>
    <col min="1561" max="1563" width="7.42578125" style="1" customWidth="1"/>
    <col min="1564" max="1567" width="6.140625" style="1" customWidth="1"/>
    <col min="1568" max="1569" width="7.42578125" style="1" customWidth="1"/>
    <col min="1570" max="1574" width="6.140625" style="1" customWidth="1"/>
    <col min="1575" max="1576" width="7.42578125" style="1" customWidth="1"/>
    <col min="1577" max="1577" width="12.5703125" style="1" customWidth="1"/>
    <col min="1578" max="1583" width="11.42578125" style="1" customWidth="1"/>
    <col min="1584" max="1586" width="12.5703125" style="1" customWidth="1"/>
    <col min="1587" max="1596" width="11.42578125" style="1" customWidth="1"/>
    <col min="1597" max="1597" width="12.5703125" style="1" customWidth="1"/>
    <col min="1598" max="1614" width="11.42578125" style="1" customWidth="1"/>
    <col min="1615" max="1615" width="12.5703125" style="1" customWidth="1"/>
    <col min="1616" max="1792" width="11.42578125" style="1"/>
    <col min="1793" max="1793" width="14.85546875" style="1" customWidth="1"/>
    <col min="1794" max="1794" width="11.28515625" style="1" customWidth="1"/>
    <col min="1795" max="1795" width="12.5703125" style="1" customWidth="1"/>
    <col min="1796" max="1796" width="6.85546875" style="1" customWidth="1"/>
    <col min="1797" max="1798" width="7" style="1" customWidth="1"/>
    <col min="1799" max="1804" width="6.140625" style="1" customWidth="1"/>
    <col min="1805" max="1806" width="7" style="1" customWidth="1"/>
    <col min="1807" max="1808" width="6.85546875" style="1" customWidth="1"/>
    <col min="1809" max="1811" width="6.140625" style="1" customWidth="1"/>
    <col min="1812" max="1812" width="11.7109375" style="1" customWidth="1"/>
    <col min="1813" max="1813" width="4.85546875" style="1" customWidth="1"/>
    <col min="1814" max="1815" width="6.140625" style="1" customWidth="1"/>
    <col min="1816" max="1816" width="6.85546875" style="1" customWidth="1"/>
    <col min="1817" max="1819" width="7.42578125" style="1" customWidth="1"/>
    <col min="1820" max="1823" width="6.140625" style="1" customWidth="1"/>
    <col min="1824" max="1825" width="7.42578125" style="1" customWidth="1"/>
    <col min="1826" max="1830" width="6.140625" style="1" customWidth="1"/>
    <col min="1831" max="1832" width="7.42578125" style="1" customWidth="1"/>
    <col min="1833" max="1833" width="12.5703125" style="1" customWidth="1"/>
    <col min="1834" max="1839" width="11.42578125" style="1" customWidth="1"/>
    <col min="1840" max="1842" width="12.5703125" style="1" customWidth="1"/>
    <col min="1843" max="1852" width="11.42578125" style="1" customWidth="1"/>
    <col min="1853" max="1853" width="12.5703125" style="1" customWidth="1"/>
    <col min="1854" max="1870" width="11.42578125" style="1" customWidth="1"/>
    <col min="1871" max="1871" width="12.5703125" style="1" customWidth="1"/>
    <col min="1872" max="2048" width="11.42578125" style="1"/>
    <col min="2049" max="2049" width="14.85546875" style="1" customWidth="1"/>
    <col min="2050" max="2050" width="11.28515625" style="1" customWidth="1"/>
    <col min="2051" max="2051" width="12.5703125" style="1" customWidth="1"/>
    <col min="2052" max="2052" width="6.85546875" style="1" customWidth="1"/>
    <col min="2053" max="2054" width="7" style="1" customWidth="1"/>
    <col min="2055" max="2060" width="6.140625" style="1" customWidth="1"/>
    <col min="2061" max="2062" width="7" style="1" customWidth="1"/>
    <col min="2063" max="2064" width="6.85546875" style="1" customWidth="1"/>
    <col min="2065" max="2067" width="6.140625" style="1" customWidth="1"/>
    <col min="2068" max="2068" width="11.7109375" style="1" customWidth="1"/>
    <col min="2069" max="2069" width="4.85546875" style="1" customWidth="1"/>
    <col min="2070" max="2071" width="6.140625" style="1" customWidth="1"/>
    <col min="2072" max="2072" width="6.85546875" style="1" customWidth="1"/>
    <col min="2073" max="2075" width="7.42578125" style="1" customWidth="1"/>
    <col min="2076" max="2079" width="6.140625" style="1" customWidth="1"/>
    <col min="2080" max="2081" width="7.42578125" style="1" customWidth="1"/>
    <col min="2082" max="2086" width="6.140625" style="1" customWidth="1"/>
    <col min="2087" max="2088" width="7.42578125" style="1" customWidth="1"/>
    <col min="2089" max="2089" width="12.5703125" style="1" customWidth="1"/>
    <col min="2090" max="2095" width="11.42578125" style="1" customWidth="1"/>
    <col min="2096" max="2098" width="12.5703125" style="1" customWidth="1"/>
    <col min="2099" max="2108" width="11.42578125" style="1" customWidth="1"/>
    <col min="2109" max="2109" width="12.5703125" style="1" customWidth="1"/>
    <col min="2110" max="2126" width="11.42578125" style="1" customWidth="1"/>
    <col min="2127" max="2127" width="12.5703125" style="1" customWidth="1"/>
    <col min="2128" max="2304" width="11.42578125" style="1"/>
    <col min="2305" max="2305" width="14.85546875" style="1" customWidth="1"/>
    <col min="2306" max="2306" width="11.28515625" style="1" customWidth="1"/>
    <col min="2307" max="2307" width="12.5703125" style="1" customWidth="1"/>
    <col min="2308" max="2308" width="6.85546875" style="1" customWidth="1"/>
    <col min="2309" max="2310" width="7" style="1" customWidth="1"/>
    <col min="2311" max="2316" width="6.140625" style="1" customWidth="1"/>
    <col min="2317" max="2318" width="7" style="1" customWidth="1"/>
    <col min="2319" max="2320" width="6.85546875" style="1" customWidth="1"/>
    <col min="2321" max="2323" width="6.140625" style="1" customWidth="1"/>
    <col min="2324" max="2324" width="11.7109375" style="1" customWidth="1"/>
    <col min="2325" max="2325" width="4.85546875" style="1" customWidth="1"/>
    <col min="2326" max="2327" width="6.140625" style="1" customWidth="1"/>
    <col min="2328" max="2328" width="6.85546875" style="1" customWidth="1"/>
    <col min="2329" max="2331" width="7.42578125" style="1" customWidth="1"/>
    <col min="2332" max="2335" width="6.140625" style="1" customWidth="1"/>
    <col min="2336" max="2337" width="7.42578125" style="1" customWidth="1"/>
    <col min="2338" max="2342" width="6.140625" style="1" customWidth="1"/>
    <col min="2343" max="2344" width="7.42578125" style="1" customWidth="1"/>
    <col min="2345" max="2345" width="12.5703125" style="1" customWidth="1"/>
    <col min="2346" max="2351" width="11.42578125" style="1" customWidth="1"/>
    <col min="2352" max="2354" width="12.5703125" style="1" customWidth="1"/>
    <col min="2355" max="2364" width="11.42578125" style="1" customWidth="1"/>
    <col min="2365" max="2365" width="12.5703125" style="1" customWidth="1"/>
    <col min="2366" max="2382" width="11.42578125" style="1" customWidth="1"/>
    <col min="2383" max="2383" width="12.5703125" style="1" customWidth="1"/>
    <col min="2384" max="2560" width="11.42578125" style="1"/>
    <col min="2561" max="2561" width="14.85546875" style="1" customWidth="1"/>
    <col min="2562" max="2562" width="11.28515625" style="1" customWidth="1"/>
    <col min="2563" max="2563" width="12.5703125" style="1" customWidth="1"/>
    <col min="2564" max="2564" width="6.85546875" style="1" customWidth="1"/>
    <col min="2565" max="2566" width="7" style="1" customWidth="1"/>
    <col min="2567" max="2572" width="6.140625" style="1" customWidth="1"/>
    <col min="2573" max="2574" width="7" style="1" customWidth="1"/>
    <col min="2575" max="2576" width="6.85546875" style="1" customWidth="1"/>
    <col min="2577" max="2579" width="6.140625" style="1" customWidth="1"/>
    <col min="2580" max="2580" width="11.7109375" style="1" customWidth="1"/>
    <col min="2581" max="2581" width="4.85546875" style="1" customWidth="1"/>
    <col min="2582" max="2583" width="6.140625" style="1" customWidth="1"/>
    <col min="2584" max="2584" width="6.85546875" style="1" customWidth="1"/>
    <col min="2585" max="2587" width="7.42578125" style="1" customWidth="1"/>
    <col min="2588" max="2591" width="6.140625" style="1" customWidth="1"/>
    <col min="2592" max="2593" width="7.42578125" style="1" customWidth="1"/>
    <col min="2594" max="2598" width="6.140625" style="1" customWidth="1"/>
    <col min="2599" max="2600" width="7.42578125" style="1" customWidth="1"/>
    <col min="2601" max="2601" width="12.5703125" style="1" customWidth="1"/>
    <col min="2602" max="2607" width="11.42578125" style="1" customWidth="1"/>
    <col min="2608" max="2610" width="12.5703125" style="1" customWidth="1"/>
    <col min="2611" max="2620" width="11.42578125" style="1" customWidth="1"/>
    <col min="2621" max="2621" width="12.5703125" style="1" customWidth="1"/>
    <col min="2622" max="2638" width="11.42578125" style="1" customWidth="1"/>
    <col min="2639" max="2639" width="12.5703125" style="1" customWidth="1"/>
    <col min="2640" max="2816" width="11.42578125" style="1"/>
    <col min="2817" max="2817" width="14.85546875" style="1" customWidth="1"/>
    <col min="2818" max="2818" width="11.28515625" style="1" customWidth="1"/>
    <col min="2819" max="2819" width="12.5703125" style="1" customWidth="1"/>
    <col min="2820" max="2820" width="6.85546875" style="1" customWidth="1"/>
    <col min="2821" max="2822" width="7" style="1" customWidth="1"/>
    <col min="2823" max="2828" width="6.140625" style="1" customWidth="1"/>
    <col min="2829" max="2830" width="7" style="1" customWidth="1"/>
    <col min="2831" max="2832" width="6.85546875" style="1" customWidth="1"/>
    <col min="2833" max="2835" width="6.140625" style="1" customWidth="1"/>
    <col min="2836" max="2836" width="11.7109375" style="1" customWidth="1"/>
    <col min="2837" max="2837" width="4.85546875" style="1" customWidth="1"/>
    <col min="2838" max="2839" width="6.140625" style="1" customWidth="1"/>
    <col min="2840" max="2840" width="6.85546875" style="1" customWidth="1"/>
    <col min="2841" max="2843" width="7.42578125" style="1" customWidth="1"/>
    <col min="2844" max="2847" width="6.140625" style="1" customWidth="1"/>
    <col min="2848" max="2849" width="7.42578125" style="1" customWidth="1"/>
    <col min="2850" max="2854" width="6.140625" style="1" customWidth="1"/>
    <col min="2855" max="2856" width="7.42578125" style="1" customWidth="1"/>
    <col min="2857" max="2857" width="12.5703125" style="1" customWidth="1"/>
    <col min="2858" max="2863" width="11.42578125" style="1" customWidth="1"/>
    <col min="2864" max="2866" width="12.5703125" style="1" customWidth="1"/>
    <col min="2867" max="2876" width="11.42578125" style="1" customWidth="1"/>
    <col min="2877" max="2877" width="12.5703125" style="1" customWidth="1"/>
    <col min="2878" max="2894" width="11.42578125" style="1" customWidth="1"/>
    <col min="2895" max="2895" width="12.5703125" style="1" customWidth="1"/>
    <col min="2896" max="3072" width="11.42578125" style="1"/>
    <col min="3073" max="3073" width="14.85546875" style="1" customWidth="1"/>
    <col min="3074" max="3074" width="11.28515625" style="1" customWidth="1"/>
    <col min="3075" max="3075" width="12.5703125" style="1" customWidth="1"/>
    <col min="3076" max="3076" width="6.85546875" style="1" customWidth="1"/>
    <col min="3077" max="3078" width="7" style="1" customWidth="1"/>
    <col min="3079" max="3084" width="6.140625" style="1" customWidth="1"/>
    <col min="3085" max="3086" width="7" style="1" customWidth="1"/>
    <col min="3087" max="3088" width="6.85546875" style="1" customWidth="1"/>
    <col min="3089" max="3091" width="6.140625" style="1" customWidth="1"/>
    <col min="3092" max="3092" width="11.7109375" style="1" customWidth="1"/>
    <col min="3093" max="3093" width="4.85546875" style="1" customWidth="1"/>
    <col min="3094" max="3095" width="6.140625" style="1" customWidth="1"/>
    <col min="3096" max="3096" width="6.85546875" style="1" customWidth="1"/>
    <col min="3097" max="3099" width="7.42578125" style="1" customWidth="1"/>
    <col min="3100" max="3103" width="6.140625" style="1" customWidth="1"/>
    <col min="3104" max="3105" width="7.42578125" style="1" customWidth="1"/>
    <col min="3106" max="3110" width="6.140625" style="1" customWidth="1"/>
    <col min="3111" max="3112" width="7.42578125" style="1" customWidth="1"/>
    <col min="3113" max="3113" width="12.5703125" style="1" customWidth="1"/>
    <col min="3114" max="3119" width="11.42578125" style="1" customWidth="1"/>
    <col min="3120" max="3122" width="12.5703125" style="1" customWidth="1"/>
    <col min="3123" max="3132" width="11.42578125" style="1" customWidth="1"/>
    <col min="3133" max="3133" width="12.5703125" style="1" customWidth="1"/>
    <col min="3134" max="3150" width="11.42578125" style="1" customWidth="1"/>
    <col min="3151" max="3151" width="12.5703125" style="1" customWidth="1"/>
    <col min="3152" max="3328" width="11.42578125" style="1"/>
    <col min="3329" max="3329" width="14.85546875" style="1" customWidth="1"/>
    <col min="3330" max="3330" width="11.28515625" style="1" customWidth="1"/>
    <col min="3331" max="3331" width="12.5703125" style="1" customWidth="1"/>
    <col min="3332" max="3332" width="6.85546875" style="1" customWidth="1"/>
    <col min="3333" max="3334" width="7" style="1" customWidth="1"/>
    <col min="3335" max="3340" width="6.140625" style="1" customWidth="1"/>
    <col min="3341" max="3342" width="7" style="1" customWidth="1"/>
    <col min="3343" max="3344" width="6.85546875" style="1" customWidth="1"/>
    <col min="3345" max="3347" width="6.140625" style="1" customWidth="1"/>
    <col min="3348" max="3348" width="11.7109375" style="1" customWidth="1"/>
    <col min="3349" max="3349" width="4.85546875" style="1" customWidth="1"/>
    <col min="3350" max="3351" width="6.140625" style="1" customWidth="1"/>
    <col min="3352" max="3352" width="6.85546875" style="1" customWidth="1"/>
    <col min="3353" max="3355" width="7.42578125" style="1" customWidth="1"/>
    <col min="3356" max="3359" width="6.140625" style="1" customWidth="1"/>
    <col min="3360" max="3361" width="7.42578125" style="1" customWidth="1"/>
    <col min="3362" max="3366" width="6.140625" style="1" customWidth="1"/>
    <col min="3367" max="3368" width="7.42578125" style="1" customWidth="1"/>
    <col min="3369" max="3369" width="12.5703125" style="1" customWidth="1"/>
    <col min="3370" max="3375" width="11.42578125" style="1" customWidth="1"/>
    <col min="3376" max="3378" width="12.5703125" style="1" customWidth="1"/>
    <col min="3379" max="3388" width="11.42578125" style="1" customWidth="1"/>
    <col min="3389" max="3389" width="12.5703125" style="1" customWidth="1"/>
    <col min="3390" max="3406" width="11.42578125" style="1" customWidth="1"/>
    <col min="3407" max="3407" width="12.5703125" style="1" customWidth="1"/>
    <col min="3408" max="3584" width="11.42578125" style="1"/>
    <col min="3585" max="3585" width="14.85546875" style="1" customWidth="1"/>
    <col min="3586" max="3586" width="11.28515625" style="1" customWidth="1"/>
    <col min="3587" max="3587" width="12.5703125" style="1" customWidth="1"/>
    <col min="3588" max="3588" width="6.85546875" style="1" customWidth="1"/>
    <col min="3589" max="3590" width="7" style="1" customWidth="1"/>
    <col min="3591" max="3596" width="6.140625" style="1" customWidth="1"/>
    <col min="3597" max="3598" width="7" style="1" customWidth="1"/>
    <col min="3599" max="3600" width="6.85546875" style="1" customWidth="1"/>
    <col min="3601" max="3603" width="6.140625" style="1" customWidth="1"/>
    <col min="3604" max="3604" width="11.7109375" style="1" customWidth="1"/>
    <col min="3605" max="3605" width="4.85546875" style="1" customWidth="1"/>
    <col min="3606" max="3607" width="6.140625" style="1" customWidth="1"/>
    <col min="3608" max="3608" width="6.85546875" style="1" customWidth="1"/>
    <col min="3609" max="3611" width="7.42578125" style="1" customWidth="1"/>
    <col min="3612" max="3615" width="6.140625" style="1" customWidth="1"/>
    <col min="3616" max="3617" width="7.42578125" style="1" customWidth="1"/>
    <col min="3618" max="3622" width="6.140625" style="1" customWidth="1"/>
    <col min="3623" max="3624" width="7.42578125" style="1" customWidth="1"/>
    <col min="3625" max="3625" width="12.5703125" style="1" customWidth="1"/>
    <col min="3626" max="3631" width="11.42578125" style="1" customWidth="1"/>
    <col min="3632" max="3634" width="12.5703125" style="1" customWidth="1"/>
    <col min="3635" max="3644" width="11.42578125" style="1" customWidth="1"/>
    <col min="3645" max="3645" width="12.5703125" style="1" customWidth="1"/>
    <col min="3646" max="3662" width="11.42578125" style="1" customWidth="1"/>
    <col min="3663" max="3663" width="12.5703125" style="1" customWidth="1"/>
    <col min="3664" max="3840" width="11.42578125" style="1"/>
    <col min="3841" max="3841" width="14.85546875" style="1" customWidth="1"/>
    <col min="3842" max="3842" width="11.28515625" style="1" customWidth="1"/>
    <col min="3843" max="3843" width="12.5703125" style="1" customWidth="1"/>
    <col min="3844" max="3844" width="6.85546875" style="1" customWidth="1"/>
    <col min="3845" max="3846" width="7" style="1" customWidth="1"/>
    <col min="3847" max="3852" width="6.140625" style="1" customWidth="1"/>
    <col min="3853" max="3854" width="7" style="1" customWidth="1"/>
    <col min="3855" max="3856" width="6.85546875" style="1" customWidth="1"/>
    <col min="3857" max="3859" width="6.140625" style="1" customWidth="1"/>
    <col min="3860" max="3860" width="11.7109375" style="1" customWidth="1"/>
    <col min="3861" max="3861" width="4.85546875" style="1" customWidth="1"/>
    <col min="3862" max="3863" width="6.140625" style="1" customWidth="1"/>
    <col min="3864" max="3864" width="6.85546875" style="1" customWidth="1"/>
    <col min="3865" max="3867" width="7.42578125" style="1" customWidth="1"/>
    <col min="3868" max="3871" width="6.140625" style="1" customWidth="1"/>
    <col min="3872" max="3873" width="7.42578125" style="1" customWidth="1"/>
    <col min="3874" max="3878" width="6.140625" style="1" customWidth="1"/>
    <col min="3879" max="3880" width="7.42578125" style="1" customWidth="1"/>
    <col min="3881" max="3881" width="12.5703125" style="1" customWidth="1"/>
    <col min="3882" max="3887" width="11.42578125" style="1" customWidth="1"/>
    <col min="3888" max="3890" width="12.5703125" style="1" customWidth="1"/>
    <col min="3891" max="3900" width="11.42578125" style="1" customWidth="1"/>
    <col min="3901" max="3901" width="12.5703125" style="1" customWidth="1"/>
    <col min="3902" max="3918" width="11.42578125" style="1" customWidth="1"/>
    <col min="3919" max="3919" width="12.5703125" style="1" customWidth="1"/>
    <col min="3920" max="4096" width="11.42578125" style="1"/>
    <col min="4097" max="4097" width="14.85546875" style="1" customWidth="1"/>
    <col min="4098" max="4098" width="11.28515625" style="1" customWidth="1"/>
    <col min="4099" max="4099" width="12.5703125" style="1" customWidth="1"/>
    <col min="4100" max="4100" width="6.85546875" style="1" customWidth="1"/>
    <col min="4101" max="4102" width="7" style="1" customWidth="1"/>
    <col min="4103" max="4108" width="6.140625" style="1" customWidth="1"/>
    <col min="4109" max="4110" width="7" style="1" customWidth="1"/>
    <col min="4111" max="4112" width="6.85546875" style="1" customWidth="1"/>
    <col min="4113" max="4115" width="6.140625" style="1" customWidth="1"/>
    <col min="4116" max="4116" width="11.7109375" style="1" customWidth="1"/>
    <col min="4117" max="4117" width="4.85546875" style="1" customWidth="1"/>
    <col min="4118" max="4119" width="6.140625" style="1" customWidth="1"/>
    <col min="4120" max="4120" width="6.85546875" style="1" customWidth="1"/>
    <col min="4121" max="4123" width="7.42578125" style="1" customWidth="1"/>
    <col min="4124" max="4127" width="6.140625" style="1" customWidth="1"/>
    <col min="4128" max="4129" width="7.42578125" style="1" customWidth="1"/>
    <col min="4130" max="4134" width="6.140625" style="1" customWidth="1"/>
    <col min="4135" max="4136" width="7.42578125" style="1" customWidth="1"/>
    <col min="4137" max="4137" width="12.5703125" style="1" customWidth="1"/>
    <col min="4138" max="4143" width="11.42578125" style="1" customWidth="1"/>
    <col min="4144" max="4146" width="12.5703125" style="1" customWidth="1"/>
    <col min="4147" max="4156" width="11.42578125" style="1" customWidth="1"/>
    <col min="4157" max="4157" width="12.5703125" style="1" customWidth="1"/>
    <col min="4158" max="4174" width="11.42578125" style="1" customWidth="1"/>
    <col min="4175" max="4175" width="12.5703125" style="1" customWidth="1"/>
    <col min="4176" max="4352" width="11.42578125" style="1"/>
    <col min="4353" max="4353" width="14.85546875" style="1" customWidth="1"/>
    <col min="4354" max="4354" width="11.28515625" style="1" customWidth="1"/>
    <col min="4355" max="4355" width="12.5703125" style="1" customWidth="1"/>
    <col min="4356" max="4356" width="6.85546875" style="1" customWidth="1"/>
    <col min="4357" max="4358" width="7" style="1" customWidth="1"/>
    <col min="4359" max="4364" width="6.140625" style="1" customWidth="1"/>
    <col min="4365" max="4366" width="7" style="1" customWidth="1"/>
    <col min="4367" max="4368" width="6.85546875" style="1" customWidth="1"/>
    <col min="4369" max="4371" width="6.140625" style="1" customWidth="1"/>
    <col min="4372" max="4372" width="11.7109375" style="1" customWidth="1"/>
    <col min="4373" max="4373" width="4.85546875" style="1" customWidth="1"/>
    <col min="4374" max="4375" width="6.140625" style="1" customWidth="1"/>
    <col min="4376" max="4376" width="6.85546875" style="1" customWidth="1"/>
    <col min="4377" max="4379" width="7.42578125" style="1" customWidth="1"/>
    <col min="4380" max="4383" width="6.140625" style="1" customWidth="1"/>
    <col min="4384" max="4385" width="7.42578125" style="1" customWidth="1"/>
    <col min="4386" max="4390" width="6.140625" style="1" customWidth="1"/>
    <col min="4391" max="4392" width="7.42578125" style="1" customWidth="1"/>
    <col min="4393" max="4393" width="12.5703125" style="1" customWidth="1"/>
    <col min="4394" max="4399" width="11.42578125" style="1" customWidth="1"/>
    <col min="4400" max="4402" width="12.5703125" style="1" customWidth="1"/>
    <col min="4403" max="4412" width="11.42578125" style="1" customWidth="1"/>
    <col min="4413" max="4413" width="12.5703125" style="1" customWidth="1"/>
    <col min="4414" max="4430" width="11.42578125" style="1" customWidth="1"/>
    <col min="4431" max="4431" width="12.5703125" style="1" customWidth="1"/>
    <col min="4432" max="4608" width="11.42578125" style="1"/>
    <col min="4609" max="4609" width="14.85546875" style="1" customWidth="1"/>
    <col min="4610" max="4610" width="11.28515625" style="1" customWidth="1"/>
    <col min="4611" max="4611" width="12.5703125" style="1" customWidth="1"/>
    <col min="4612" max="4612" width="6.85546875" style="1" customWidth="1"/>
    <col min="4613" max="4614" width="7" style="1" customWidth="1"/>
    <col min="4615" max="4620" width="6.140625" style="1" customWidth="1"/>
    <col min="4621" max="4622" width="7" style="1" customWidth="1"/>
    <col min="4623" max="4624" width="6.85546875" style="1" customWidth="1"/>
    <col min="4625" max="4627" width="6.140625" style="1" customWidth="1"/>
    <col min="4628" max="4628" width="11.7109375" style="1" customWidth="1"/>
    <col min="4629" max="4629" width="4.85546875" style="1" customWidth="1"/>
    <col min="4630" max="4631" width="6.140625" style="1" customWidth="1"/>
    <col min="4632" max="4632" width="6.85546875" style="1" customWidth="1"/>
    <col min="4633" max="4635" width="7.42578125" style="1" customWidth="1"/>
    <col min="4636" max="4639" width="6.140625" style="1" customWidth="1"/>
    <col min="4640" max="4641" width="7.42578125" style="1" customWidth="1"/>
    <col min="4642" max="4646" width="6.140625" style="1" customWidth="1"/>
    <col min="4647" max="4648" width="7.42578125" style="1" customWidth="1"/>
    <col min="4649" max="4649" width="12.5703125" style="1" customWidth="1"/>
    <col min="4650" max="4655" width="11.42578125" style="1" customWidth="1"/>
    <col min="4656" max="4658" width="12.5703125" style="1" customWidth="1"/>
    <col min="4659" max="4668" width="11.42578125" style="1" customWidth="1"/>
    <col min="4669" max="4669" width="12.5703125" style="1" customWidth="1"/>
    <col min="4670" max="4686" width="11.42578125" style="1" customWidth="1"/>
    <col min="4687" max="4687" width="12.5703125" style="1" customWidth="1"/>
    <col min="4688" max="4864" width="11.42578125" style="1"/>
    <col min="4865" max="4865" width="14.85546875" style="1" customWidth="1"/>
    <col min="4866" max="4866" width="11.28515625" style="1" customWidth="1"/>
    <col min="4867" max="4867" width="12.5703125" style="1" customWidth="1"/>
    <col min="4868" max="4868" width="6.85546875" style="1" customWidth="1"/>
    <col min="4869" max="4870" width="7" style="1" customWidth="1"/>
    <col min="4871" max="4876" width="6.140625" style="1" customWidth="1"/>
    <col min="4877" max="4878" width="7" style="1" customWidth="1"/>
    <col min="4879" max="4880" width="6.85546875" style="1" customWidth="1"/>
    <col min="4881" max="4883" width="6.140625" style="1" customWidth="1"/>
    <col min="4884" max="4884" width="11.7109375" style="1" customWidth="1"/>
    <col min="4885" max="4885" width="4.85546875" style="1" customWidth="1"/>
    <col min="4886" max="4887" width="6.140625" style="1" customWidth="1"/>
    <col min="4888" max="4888" width="6.85546875" style="1" customWidth="1"/>
    <col min="4889" max="4891" width="7.42578125" style="1" customWidth="1"/>
    <col min="4892" max="4895" width="6.140625" style="1" customWidth="1"/>
    <col min="4896" max="4897" width="7.42578125" style="1" customWidth="1"/>
    <col min="4898" max="4902" width="6.140625" style="1" customWidth="1"/>
    <col min="4903" max="4904" width="7.42578125" style="1" customWidth="1"/>
    <col min="4905" max="4905" width="12.5703125" style="1" customWidth="1"/>
    <col min="4906" max="4911" width="11.42578125" style="1" customWidth="1"/>
    <col min="4912" max="4914" width="12.5703125" style="1" customWidth="1"/>
    <col min="4915" max="4924" width="11.42578125" style="1" customWidth="1"/>
    <col min="4925" max="4925" width="12.5703125" style="1" customWidth="1"/>
    <col min="4926" max="4942" width="11.42578125" style="1" customWidth="1"/>
    <col min="4943" max="4943" width="12.5703125" style="1" customWidth="1"/>
    <col min="4944" max="5120" width="11.42578125" style="1"/>
    <col min="5121" max="5121" width="14.85546875" style="1" customWidth="1"/>
    <col min="5122" max="5122" width="11.28515625" style="1" customWidth="1"/>
    <col min="5123" max="5123" width="12.5703125" style="1" customWidth="1"/>
    <col min="5124" max="5124" width="6.85546875" style="1" customWidth="1"/>
    <col min="5125" max="5126" width="7" style="1" customWidth="1"/>
    <col min="5127" max="5132" width="6.140625" style="1" customWidth="1"/>
    <col min="5133" max="5134" width="7" style="1" customWidth="1"/>
    <col min="5135" max="5136" width="6.85546875" style="1" customWidth="1"/>
    <col min="5137" max="5139" width="6.140625" style="1" customWidth="1"/>
    <col min="5140" max="5140" width="11.7109375" style="1" customWidth="1"/>
    <col min="5141" max="5141" width="4.85546875" style="1" customWidth="1"/>
    <col min="5142" max="5143" width="6.140625" style="1" customWidth="1"/>
    <col min="5144" max="5144" width="6.85546875" style="1" customWidth="1"/>
    <col min="5145" max="5147" width="7.42578125" style="1" customWidth="1"/>
    <col min="5148" max="5151" width="6.140625" style="1" customWidth="1"/>
    <col min="5152" max="5153" width="7.42578125" style="1" customWidth="1"/>
    <col min="5154" max="5158" width="6.140625" style="1" customWidth="1"/>
    <col min="5159" max="5160" width="7.42578125" style="1" customWidth="1"/>
    <col min="5161" max="5161" width="12.5703125" style="1" customWidth="1"/>
    <col min="5162" max="5167" width="11.42578125" style="1" customWidth="1"/>
    <col min="5168" max="5170" width="12.5703125" style="1" customWidth="1"/>
    <col min="5171" max="5180" width="11.42578125" style="1" customWidth="1"/>
    <col min="5181" max="5181" width="12.5703125" style="1" customWidth="1"/>
    <col min="5182" max="5198" width="11.42578125" style="1" customWidth="1"/>
    <col min="5199" max="5199" width="12.5703125" style="1" customWidth="1"/>
    <col min="5200" max="5376" width="11.42578125" style="1"/>
    <col min="5377" max="5377" width="14.85546875" style="1" customWidth="1"/>
    <col min="5378" max="5378" width="11.28515625" style="1" customWidth="1"/>
    <col min="5379" max="5379" width="12.5703125" style="1" customWidth="1"/>
    <col min="5380" max="5380" width="6.85546875" style="1" customWidth="1"/>
    <col min="5381" max="5382" width="7" style="1" customWidth="1"/>
    <col min="5383" max="5388" width="6.140625" style="1" customWidth="1"/>
    <col min="5389" max="5390" width="7" style="1" customWidth="1"/>
    <col min="5391" max="5392" width="6.85546875" style="1" customWidth="1"/>
    <col min="5393" max="5395" width="6.140625" style="1" customWidth="1"/>
    <col min="5396" max="5396" width="11.7109375" style="1" customWidth="1"/>
    <col min="5397" max="5397" width="4.85546875" style="1" customWidth="1"/>
    <col min="5398" max="5399" width="6.140625" style="1" customWidth="1"/>
    <col min="5400" max="5400" width="6.85546875" style="1" customWidth="1"/>
    <col min="5401" max="5403" width="7.42578125" style="1" customWidth="1"/>
    <col min="5404" max="5407" width="6.140625" style="1" customWidth="1"/>
    <col min="5408" max="5409" width="7.42578125" style="1" customWidth="1"/>
    <col min="5410" max="5414" width="6.140625" style="1" customWidth="1"/>
    <col min="5415" max="5416" width="7.42578125" style="1" customWidth="1"/>
    <col min="5417" max="5417" width="12.5703125" style="1" customWidth="1"/>
    <col min="5418" max="5423" width="11.42578125" style="1" customWidth="1"/>
    <col min="5424" max="5426" width="12.5703125" style="1" customWidth="1"/>
    <col min="5427" max="5436" width="11.42578125" style="1" customWidth="1"/>
    <col min="5437" max="5437" width="12.5703125" style="1" customWidth="1"/>
    <col min="5438" max="5454" width="11.42578125" style="1" customWidth="1"/>
    <col min="5455" max="5455" width="12.5703125" style="1" customWidth="1"/>
    <col min="5456" max="5632" width="11.42578125" style="1"/>
    <col min="5633" max="5633" width="14.85546875" style="1" customWidth="1"/>
    <col min="5634" max="5634" width="11.28515625" style="1" customWidth="1"/>
    <col min="5635" max="5635" width="12.5703125" style="1" customWidth="1"/>
    <col min="5636" max="5636" width="6.85546875" style="1" customWidth="1"/>
    <col min="5637" max="5638" width="7" style="1" customWidth="1"/>
    <col min="5639" max="5644" width="6.140625" style="1" customWidth="1"/>
    <col min="5645" max="5646" width="7" style="1" customWidth="1"/>
    <col min="5647" max="5648" width="6.85546875" style="1" customWidth="1"/>
    <col min="5649" max="5651" width="6.140625" style="1" customWidth="1"/>
    <col min="5652" max="5652" width="11.7109375" style="1" customWidth="1"/>
    <col min="5653" max="5653" width="4.85546875" style="1" customWidth="1"/>
    <col min="5654" max="5655" width="6.140625" style="1" customWidth="1"/>
    <col min="5656" max="5656" width="6.85546875" style="1" customWidth="1"/>
    <col min="5657" max="5659" width="7.42578125" style="1" customWidth="1"/>
    <col min="5660" max="5663" width="6.140625" style="1" customWidth="1"/>
    <col min="5664" max="5665" width="7.42578125" style="1" customWidth="1"/>
    <col min="5666" max="5670" width="6.140625" style="1" customWidth="1"/>
    <col min="5671" max="5672" width="7.42578125" style="1" customWidth="1"/>
    <col min="5673" max="5673" width="12.5703125" style="1" customWidth="1"/>
    <col min="5674" max="5679" width="11.42578125" style="1" customWidth="1"/>
    <col min="5680" max="5682" width="12.5703125" style="1" customWidth="1"/>
    <col min="5683" max="5692" width="11.42578125" style="1" customWidth="1"/>
    <col min="5693" max="5693" width="12.5703125" style="1" customWidth="1"/>
    <col min="5694" max="5710" width="11.42578125" style="1" customWidth="1"/>
    <col min="5711" max="5711" width="12.5703125" style="1" customWidth="1"/>
    <col min="5712" max="5888" width="11.42578125" style="1"/>
    <col min="5889" max="5889" width="14.85546875" style="1" customWidth="1"/>
    <col min="5890" max="5890" width="11.28515625" style="1" customWidth="1"/>
    <col min="5891" max="5891" width="12.5703125" style="1" customWidth="1"/>
    <col min="5892" max="5892" width="6.85546875" style="1" customWidth="1"/>
    <col min="5893" max="5894" width="7" style="1" customWidth="1"/>
    <col min="5895" max="5900" width="6.140625" style="1" customWidth="1"/>
    <col min="5901" max="5902" width="7" style="1" customWidth="1"/>
    <col min="5903" max="5904" width="6.85546875" style="1" customWidth="1"/>
    <col min="5905" max="5907" width="6.140625" style="1" customWidth="1"/>
    <col min="5908" max="5908" width="11.7109375" style="1" customWidth="1"/>
    <col min="5909" max="5909" width="4.85546875" style="1" customWidth="1"/>
    <col min="5910" max="5911" width="6.140625" style="1" customWidth="1"/>
    <col min="5912" max="5912" width="6.85546875" style="1" customWidth="1"/>
    <col min="5913" max="5915" width="7.42578125" style="1" customWidth="1"/>
    <col min="5916" max="5919" width="6.140625" style="1" customWidth="1"/>
    <col min="5920" max="5921" width="7.42578125" style="1" customWidth="1"/>
    <col min="5922" max="5926" width="6.140625" style="1" customWidth="1"/>
    <col min="5927" max="5928" width="7.42578125" style="1" customWidth="1"/>
    <col min="5929" max="5929" width="12.5703125" style="1" customWidth="1"/>
    <col min="5930" max="5935" width="11.42578125" style="1" customWidth="1"/>
    <col min="5936" max="5938" width="12.5703125" style="1" customWidth="1"/>
    <col min="5939" max="5948" width="11.42578125" style="1" customWidth="1"/>
    <col min="5949" max="5949" width="12.5703125" style="1" customWidth="1"/>
    <col min="5950" max="5966" width="11.42578125" style="1" customWidth="1"/>
    <col min="5967" max="5967" width="12.5703125" style="1" customWidth="1"/>
    <col min="5968" max="6144" width="11.42578125" style="1"/>
    <col min="6145" max="6145" width="14.85546875" style="1" customWidth="1"/>
    <col min="6146" max="6146" width="11.28515625" style="1" customWidth="1"/>
    <col min="6147" max="6147" width="12.5703125" style="1" customWidth="1"/>
    <col min="6148" max="6148" width="6.85546875" style="1" customWidth="1"/>
    <col min="6149" max="6150" width="7" style="1" customWidth="1"/>
    <col min="6151" max="6156" width="6.140625" style="1" customWidth="1"/>
    <col min="6157" max="6158" width="7" style="1" customWidth="1"/>
    <col min="6159" max="6160" width="6.85546875" style="1" customWidth="1"/>
    <col min="6161" max="6163" width="6.140625" style="1" customWidth="1"/>
    <col min="6164" max="6164" width="11.7109375" style="1" customWidth="1"/>
    <col min="6165" max="6165" width="4.85546875" style="1" customWidth="1"/>
    <col min="6166" max="6167" width="6.140625" style="1" customWidth="1"/>
    <col min="6168" max="6168" width="6.85546875" style="1" customWidth="1"/>
    <col min="6169" max="6171" width="7.42578125" style="1" customWidth="1"/>
    <col min="6172" max="6175" width="6.140625" style="1" customWidth="1"/>
    <col min="6176" max="6177" width="7.42578125" style="1" customWidth="1"/>
    <col min="6178" max="6182" width="6.140625" style="1" customWidth="1"/>
    <col min="6183" max="6184" width="7.42578125" style="1" customWidth="1"/>
    <col min="6185" max="6185" width="12.5703125" style="1" customWidth="1"/>
    <col min="6186" max="6191" width="11.42578125" style="1" customWidth="1"/>
    <col min="6192" max="6194" width="12.5703125" style="1" customWidth="1"/>
    <col min="6195" max="6204" width="11.42578125" style="1" customWidth="1"/>
    <col min="6205" max="6205" width="12.5703125" style="1" customWidth="1"/>
    <col min="6206" max="6222" width="11.42578125" style="1" customWidth="1"/>
    <col min="6223" max="6223" width="12.5703125" style="1" customWidth="1"/>
    <col min="6224" max="6400" width="11.42578125" style="1"/>
    <col min="6401" max="6401" width="14.85546875" style="1" customWidth="1"/>
    <col min="6402" max="6402" width="11.28515625" style="1" customWidth="1"/>
    <col min="6403" max="6403" width="12.5703125" style="1" customWidth="1"/>
    <col min="6404" max="6404" width="6.85546875" style="1" customWidth="1"/>
    <col min="6405" max="6406" width="7" style="1" customWidth="1"/>
    <col min="6407" max="6412" width="6.140625" style="1" customWidth="1"/>
    <col min="6413" max="6414" width="7" style="1" customWidth="1"/>
    <col min="6415" max="6416" width="6.85546875" style="1" customWidth="1"/>
    <col min="6417" max="6419" width="6.140625" style="1" customWidth="1"/>
    <col min="6420" max="6420" width="11.7109375" style="1" customWidth="1"/>
    <col min="6421" max="6421" width="4.85546875" style="1" customWidth="1"/>
    <col min="6422" max="6423" width="6.140625" style="1" customWidth="1"/>
    <col min="6424" max="6424" width="6.85546875" style="1" customWidth="1"/>
    <col min="6425" max="6427" width="7.42578125" style="1" customWidth="1"/>
    <col min="6428" max="6431" width="6.140625" style="1" customWidth="1"/>
    <col min="6432" max="6433" width="7.42578125" style="1" customWidth="1"/>
    <col min="6434" max="6438" width="6.140625" style="1" customWidth="1"/>
    <col min="6439" max="6440" width="7.42578125" style="1" customWidth="1"/>
    <col min="6441" max="6441" width="12.5703125" style="1" customWidth="1"/>
    <col min="6442" max="6447" width="11.42578125" style="1" customWidth="1"/>
    <col min="6448" max="6450" width="12.5703125" style="1" customWidth="1"/>
    <col min="6451" max="6460" width="11.42578125" style="1" customWidth="1"/>
    <col min="6461" max="6461" width="12.5703125" style="1" customWidth="1"/>
    <col min="6462" max="6478" width="11.42578125" style="1" customWidth="1"/>
    <col min="6479" max="6479" width="12.5703125" style="1" customWidth="1"/>
    <col min="6480" max="6656" width="11.42578125" style="1"/>
    <col min="6657" max="6657" width="14.85546875" style="1" customWidth="1"/>
    <col min="6658" max="6658" width="11.28515625" style="1" customWidth="1"/>
    <col min="6659" max="6659" width="12.5703125" style="1" customWidth="1"/>
    <col min="6660" max="6660" width="6.85546875" style="1" customWidth="1"/>
    <col min="6661" max="6662" width="7" style="1" customWidth="1"/>
    <col min="6663" max="6668" width="6.140625" style="1" customWidth="1"/>
    <col min="6669" max="6670" width="7" style="1" customWidth="1"/>
    <col min="6671" max="6672" width="6.85546875" style="1" customWidth="1"/>
    <col min="6673" max="6675" width="6.140625" style="1" customWidth="1"/>
    <col min="6676" max="6676" width="11.7109375" style="1" customWidth="1"/>
    <col min="6677" max="6677" width="4.85546875" style="1" customWidth="1"/>
    <col min="6678" max="6679" width="6.140625" style="1" customWidth="1"/>
    <col min="6680" max="6680" width="6.85546875" style="1" customWidth="1"/>
    <col min="6681" max="6683" width="7.42578125" style="1" customWidth="1"/>
    <col min="6684" max="6687" width="6.140625" style="1" customWidth="1"/>
    <col min="6688" max="6689" width="7.42578125" style="1" customWidth="1"/>
    <col min="6690" max="6694" width="6.140625" style="1" customWidth="1"/>
    <col min="6695" max="6696" width="7.42578125" style="1" customWidth="1"/>
    <col min="6697" max="6697" width="12.5703125" style="1" customWidth="1"/>
    <col min="6698" max="6703" width="11.42578125" style="1" customWidth="1"/>
    <col min="6704" max="6706" width="12.5703125" style="1" customWidth="1"/>
    <col min="6707" max="6716" width="11.42578125" style="1" customWidth="1"/>
    <col min="6717" max="6717" width="12.5703125" style="1" customWidth="1"/>
    <col min="6718" max="6734" width="11.42578125" style="1" customWidth="1"/>
    <col min="6735" max="6735" width="12.5703125" style="1" customWidth="1"/>
    <col min="6736" max="6912" width="11.42578125" style="1"/>
    <col min="6913" max="6913" width="14.85546875" style="1" customWidth="1"/>
    <col min="6914" max="6914" width="11.28515625" style="1" customWidth="1"/>
    <col min="6915" max="6915" width="12.5703125" style="1" customWidth="1"/>
    <col min="6916" max="6916" width="6.85546875" style="1" customWidth="1"/>
    <col min="6917" max="6918" width="7" style="1" customWidth="1"/>
    <col min="6919" max="6924" width="6.140625" style="1" customWidth="1"/>
    <col min="6925" max="6926" width="7" style="1" customWidth="1"/>
    <col min="6927" max="6928" width="6.85546875" style="1" customWidth="1"/>
    <col min="6929" max="6931" width="6.140625" style="1" customWidth="1"/>
    <col min="6932" max="6932" width="11.7109375" style="1" customWidth="1"/>
    <col min="6933" max="6933" width="4.85546875" style="1" customWidth="1"/>
    <col min="6934" max="6935" width="6.140625" style="1" customWidth="1"/>
    <col min="6936" max="6936" width="6.85546875" style="1" customWidth="1"/>
    <col min="6937" max="6939" width="7.42578125" style="1" customWidth="1"/>
    <col min="6940" max="6943" width="6.140625" style="1" customWidth="1"/>
    <col min="6944" max="6945" width="7.42578125" style="1" customWidth="1"/>
    <col min="6946" max="6950" width="6.140625" style="1" customWidth="1"/>
    <col min="6951" max="6952" width="7.42578125" style="1" customWidth="1"/>
    <col min="6953" max="6953" width="12.5703125" style="1" customWidth="1"/>
    <col min="6954" max="6959" width="11.42578125" style="1" customWidth="1"/>
    <col min="6960" max="6962" width="12.5703125" style="1" customWidth="1"/>
    <col min="6963" max="6972" width="11.42578125" style="1" customWidth="1"/>
    <col min="6973" max="6973" width="12.5703125" style="1" customWidth="1"/>
    <col min="6974" max="6990" width="11.42578125" style="1" customWidth="1"/>
    <col min="6991" max="6991" width="12.5703125" style="1" customWidth="1"/>
    <col min="6992" max="7168" width="11.42578125" style="1"/>
    <col min="7169" max="7169" width="14.85546875" style="1" customWidth="1"/>
    <col min="7170" max="7170" width="11.28515625" style="1" customWidth="1"/>
    <col min="7171" max="7171" width="12.5703125" style="1" customWidth="1"/>
    <col min="7172" max="7172" width="6.85546875" style="1" customWidth="1"/>
    <col min="7173" max="7174" width="7" style="1" customWidth="1"/>
    <col min="7175" max="7180" width="6.140625" style="1" customWidth="1"/>
    <col min="7181" max="7182" width="7" style="1" customWidth="1"/>
    <col min="7183" max="7184" width="6.85546875" style="1" customWidth="1"/>
    <col min="7185" max="7187" width="6.140625" style="1" customWidth="1"/>
    <col min="7188" max="7188" width="11.7109375" style="1" customWidth="1"/>
    <col min="7189" max="7189" width="4.85546875" style="1" customWidth="1"/>
    <col min="7190" max="7191" width="6.140625" style="1" customWidth="1"/>
    <col min="7192" max="7192" width="6.85546875" style="1" customWidth="1"/>
    <col min="7193" max="7195" width="7.42578125" style="1" customWidth="1"/>
    <col min="7196" max="7199" width="6.140625" style="1" customWidth="1"/>
    <col min="7200" max="7201" width="7.42578125" style="1" customWidth="1"/>
    <col min="7202" max="7206" width="6.140625" style="1" customWidth="1"/>
    <col min="7207" max="7208" width="7.42578125" style="1" customWidth="1"/>
    <col min="7209" max="7209" width="12.5703125" style="1" customWidth="1"/>
    <col min="7210" max="7215" width="11.42578125" style="1" customWidth="1"/>
    <col min="7216" max="7218" width="12.5703125" style="1" customWidth="1"/>
    <col min="7219" max="7228" width="11.42578125" style="1" customWidth="1"/>
    <col min="7229" max="7229" width="12.5703125" style="1" customWidth="1"/>
    <col min="7230" max="7246" width="11.42578125" style="1" customWidth="1"/>
    <col min="7247" max="7247" width="12.5703125" style="1" customWidth="1"/>
    <col min="7248" max="7424" width="11.42578125" style="1"/>
    <col min="7425" max="7425" width="14.85546875" style="1" customWidth="1"/>
    <col min="7426" max="7426" width="11.28515625" style="1" customWidth="1"/>
    <col min="7427" max="7427" width="12.5703125" style="1" customWidth="1"/>
    <col min="7428" max="7428" width="6.85546875" style="1" customWidth="1"/>
    <col min="7429" max="7430" width="7" style="1" customWidth="1"/>
    <col min="7431" max="7436" width="6.140625" style="1" customWidth="1"/>
    <col min="7437" max="7438" width="7" style="1" customWidth="1"/>
    <col min="7439" max="7440" width="6.85546875" style="1" customWidth="1"/>
    <col min="7441" max="7443" width="6.140625" style="1" customWidth="1"/>
    <col min="7444" max="7444" width="11.7109375" style="1" customWidth="1"/>
    <col min="7445" max="7445" width="4.85546875" style="1" customWidth="1"/>
    <col min="7446" max="7447" width="6.140625" style="1" customWidth="1"/>
    <col min="7448" max="7448" width="6.85546875" style="1" customWidth="1"/>
    <col min="7449" max="7451" width="7.42578125" style="1" customWidth="1"/>
    <col min="7452" max="7455" width="6.140625" style="1" customWidth="1"/>
    <col min="7456" max="7457" width="7.42578125" style="1" customWidth="1"/>
    <col min="7458" max="7462" width="6.140625" style="1" customWidth="1"/>
    <col min="7463" max="7464" width="7.42578125" style="1" customWidth="1"/>
    <col min="7465" max="7465" width="12.5703125" style="1" customWidth="1"/>
    <col min="7466" max="7471" width="11.42578125" style="1" customWidth="1"/>
    <col min="7472" max="7474" width="12.5703125" style="1" customWidth="1"/>
    <col min="7475" max="7484" width="11.42578125" style="1" customWidth="1"/>
    <col min="7485" max="7485" width="12.5703125" style="1" customWidth="1"/>
    <col min="7486" max="7502" width="11.42578125" style="1" customWidth="1"/>
    <col min="7503" max="7503" width="12.5703125" style="1" customWidth="1"/>
    <col min="7504" max="7680" width="11.42578125" style="1"/>
    <col min="7681" max="7681" width="14.85546875" style="1" customWidth="1"/>
    <col min="7682" max="7682" width="11.28515625" style="1" customWidth="1"/>
    <col min="7683" max="7683" width="12.5703125" style="1" customWidth="1"/>
    <col min="7684" max="7684" width="6.85546875" style="1" customWidth="1"/>
    <col min="7685" max="7686" width="7" style="1" customWidth="1"/>
    <col min="7687" max="7692" width="6.140625" style="1" customWidth="1"/>
    <col min="7693" max="7694" width="7" style="1" customWidth="1"/>
    <col min="7695" max="7696" width="6.85546875" style="1" customWidth="1"/>
    <col min="7697" max="7699" width="6.140625" style="1" customWidth="1"/>
    <col min="7700" max="7700" width="11.7109375" style="1" customWidth="1"/>
    <col min="7701" max="7701" width="4.85546875" style="1" customWidth="1"/>
    <col min="7702" max="7703" width="6.140625" style="1" customWidth="1"/>
    <col min="7704" max="7704" width="6.85546875" style="1" customWidth="1"/>
    <col min="7705" max="7707" width="7.42578125" style="1" customWidth="1"/>
    <col min="7708" max="7711" width="6.140625" style="1" customWidth="1"/>
    <col min="7712" max="7713" width="7.42578125" style="1" customWidth="1"/>
    <col min="7714" max="7718" width="6.140625" style="1" customWidth="1"/>
    <col min="7719" max="7720" width="7.42578125" style="1" customWidth="1"/>
    <col min="7721" max="7721" width="12.5703125" style="1" customWidth="1"/>
    <col min="7722" max="7727" width="11.42578125" style="1" customWidth="1"/>
    <col min="7728" max="7730" width="12.5703125" style="1" customWidth="1"/>
    <col min="7731" max="7740" width="11.42578125" style="1" customWidth="1"/>
    <col min="7741" max="7741" width="12.5703125" style="1" customWidth="1"/>
    <col min="7742" max="7758" width="11.42578125" style="1" customWidth="1"/>
    <col min="7759" max="7759" width="12.5703125" style="1" customWidth="1"/>
    <col min="7760" max="7936" width="11.42578125" style="1"/>
    <col min="7937" max="7937" width="14.85546875" style="1" customWidth="1"/>
    <col min="7938" max="7938" width="11.28515625" style="1" customWidth="1"/>
    <col min="7939" max="7939" width="12.5703125" style="1" customWidth="1"/>
    <col min="7940" max="7940" width="6.85546875" style="1" customWidth="1"/>
    <col min="7941" max="7942" width="7" style="1" customWidth="1"/>
    <col min="7943" max="7948" width="6.140625" style="1" customWidth="1"/>
    <col min="7949" max="7950" width="7" style="1" customWidth="1"/>
    <col min="7951" max="7952" width="6.85546875" style="1" customWidth="1"/>
    <col min="7953" max="7955" width="6.140625" style="1" customWidth="1"/>
    <col min="7956" max="7956" width="11.7109375" style="1" customWidth="1"/>
    <col min="7957" max="7957" width="4.85546875" style="1" customWidth="1"/>
    <col min="7958" max="7959" width="6.140625" style="1" customWidth="1"/>
    <col min="7960" max="7960" width="6.85546875" style="1" customWidth="1"/>
    <col min="7961" max="7963" width="7.42578125" style="1" customWidth="1"/>
    <col min="7964" max="7967" width="6.140625" style="1" customWidth="1"/>
    <col min="7968" max="7969" width="7.42578125" style="1" customWidth="1"/>
    <col min="7970" max="7974" width="6.140625" style="1" customWidth="1"/>
    <col min="7975" max="7976" width="7.42578125" style="1" customWidth="1"/>
    <col min="7977" max="7977" width="12.5703125" style="1" customWidth="1"/>
    <col min="7978" max="7983" width="11.42578125" style="1" customWidth="1"/>
    <col min="7984" max="7986" width="12.5703125" style="1" customWidth="1"/>
    <col min="7987" max="7996" width="11.42578125" style="1" customWidth="1"/>
    <col min="7997" max="7997" width="12.5703125" style="1" customWidth="1"/>
    <col min="7998" max="8014" width="11.42578125" style="1" customWidth="1"/>
    <col min="8015" max="8015" width="12.5703125" style="1" customWidth="1"/>
    <col min="8016" max="8192" width="11.42578125" style="1"/>
    <col min="8193" max="8193" width="14.85546875" style="1" customWidth="1"/>
    <col min="8194" max="8194" width="11.28515625" style="1" customWidth="1"/>
    <col min="8195" max="8195" width="12.5703125" style="1" customWidth="1"/>
    <col min="8196" max="8196" width="6.85546875" style="1" customWidth="1"/>
    <col min="8197" max="8198" width="7" style="1" customWidth="1"/>
    <col min="8199" max="8204" width="6.140625" style="1" customWidth="1"/>
    <col min="8205" max="8206" width="7" style="1" customWidth="1"/>
    <col min="8207" max="8208" width="6.85546875" style="1" customWidth="1"/>
    <col min="8209" max="8211" width="6.140625" style="1" customWidth="1"/>
    <col min="8212" max="8212" width="11.7109375" style="1" customWidth="1"/>
    <col min="8213" max="8213" width="4.85546875" style="1" customWidth="1"/>
    <col min="8214" max="8215" width="6.140625" style="1" customWidth="1"/>
    <col min="8216" max="8216" width="6.85546875" style="1" customWidth="1"/>
    <col min="8217" max="8219" width="7.42578125" style="1" customWidth="1"/>
    <col min="8220" max="8223" width="6.140625" style="1" customWidth="1"/>
    <col min="8224" max="8225" width="7.42578125" style="1" customWidth="1"/>
    <col min="8226" max="8230" width="6.140625" style="1" customWidth="1"/>
    <col min="8231" max="8232" width="7.42578125" style="1" customWidth="1"/>
    <col min="8233" max="8233" width="12.5703125" style="1" customWidth="1"/>
    <col min="8234" max="8239" width="11.42578125" style="1" customWidth="1"/>
    <col min="8240" max="8242" width="12.5703125" style="1" customWidth="1"/>
    <col min="8243" max="8252" width="11.42578125" style="1" customWidth="1"/>
    <col min="8253" max="8253" width="12.5703125" style="1" customWidth="1"/>
    <col min="8254" max="8270" width="11.42578125" style="1" customWidth="1"/>
    <col min="8271" max="8271" width="12.5703125" style="1" customWidth="1"/>
    <col min="8272" max="8448" width="11.42578125" style="1"/>
    <col min="8449" max="8449" width="14.85546875" style="1" customWidth="1"/>
    <col min="8450" max="8450" width="11.28515625" style="1" customWidth="1"/>
    <col min="8451" max="8451" width="12.5703125" style="1" customWidth="1"/>
    <col min="8452" max="8452" width="6.85546875" style="1" customWidth="1"/>
    <col min="8453" max="8454" width="7" style="1" customWidth="1"/>
    <col min="8455" max="8460" width="6.140625" style="1" customWidth="1"/>
    <col min="8461" max="8462" width="7" style="1" customWidth="1"/>
    <col min="8463" max="8464" width="6.85546875" style="1" customWidth="1"/>
    <col min="8465" max="8467" width="6.140625" style="1" customWidth="1"/>
    <col min="8468" max="8468" width="11.7109375" style="1" customWidth="1"/>
    <col min="8469" max="8469" width="4.85546875" style="1" customWidth="1"/>
    <col min="8470" max="8471" width="6.140625" style="1" customWidth="1"/>
    <col min="8472" max="8472" width="6.85546875" style="1" customWidth="1"/>
    <col min="8473" max="8475" width="7.42578125" style="1" customWidth="1"/>
    <col min="8476" max="8479" width="6.140625" style="1" customWidth="1"/>
    <col min="8480" max="8481" width="7.42578125" style="1" customWidth="1"/>
    <col min="8482" max="8486" width="6.140625" style="1" customWidth="1"/>
    <col min="8487" max="8488" width="7.42578125" style="1" customWidth="1"/>
    <col min="8489" max="8489" width="12.5703125" style="1" customWidth="1"/>
    <col min="8490" max="8495" width="11.42578125" style="1" customWidth="1"/>
    <col min="8496" max="8498" width="12.5703125" style="1" customWidth="1"/>
    <col min="8499" max="8508" width="11.42578125" style="1" customWidth="1"/>
    <col min="8509" max="8509" width="12.5703125" style="1" customWidth="1"/>
    <col min="8510" max="8526" width="11.42578125" style="1" customWidth="1"/>
    <col min="8527" max="8527" width="12.5703125" style="1" customWidth="1"/>
    <col min="8528" max="8704" width="11.42578125" style="1"/>
    <col min="8705" max="8705" width="14.85546875" style="1" customWidth="1"/>
    <col min="8706" max="8706" width="11.28515625" style="1" customWidth="1"/>
    <col min="8707" max="8707" width="12.5703125" style="1" customWidth="1"/>
    <col min="8708" max="8708" width="6.85546875" style="1" customWidth="1"/>
    <col min="8709" max="8710" width="7" style="1" customWidth="1"/>
    <col min="8711" max="8716" width="6.140625" style="1" customWidth="1"/>
    <col min="8717" max="8718" width="7" style="1" customWidth="1"/>
    <col min="8719" max="8720" width="6.85546875" style="1" customWidth="1"/>
    <col min="8721" max="8723" width="6.140625" style="1" customWidth="1"/>
    <col min="8724" max="8724" width="11.7109375" style="1" customWidth="1"/>
    <col min="8725" max="8725" width="4.85546875" style="1" customWidth="1"/>
    <col min="8726" max="8727" width="6.140625" style="1" customWidth="1"/>
    <col min="8728" max="8728" width="6.85546875" style="1" customWidth="1"/>
    <col min="8729" max="8731" width="7.42578125" style="1" customWidth="1"/>
    <col min="8732" max="8735" width="6.140625" style="1" customWidth="1"/>
    <col min="8736" max="8737" width="7.42578125" style="1" customWidth="1"/>
    <col min="8738" max="8742" width="6.140625" style="1" customWidth="1"/>
    <col min="8743" max="8744" width="7.42578125" style="1" customWidth="1"/>
    <col min="8745" max="8745" width="12.5703125" style="1" customWidth="1"/>
    <col min="8746" max="8751" width="11.42578125" style="1" customWidth="1"/>
    <col min="8752" max="8754" width="12.5703125" style="1" customWidth="1"/>
    <col min="8755" max="8764" width="11.42578125" style="1" customWidth="1"/>
    <col min="8765" max="8765" width="12.5703125" style="1" customWidth="1"/>
    <col min="8766" max="8782" width="11.42578125" style="1" customWidth="1"/>
    <col min="8783" max="8783" width="12.5703125" style="1" customWidth="1"/>
    <col min="8784" max="8960" width="11.42578125" style="1"/>
    <col min="8961" max="8961" width="14.85546875" style="1" customWidth="1"/>
    <col min="8962" max="8962" width="11.28515625" style="1" customWidth="1"/>
    <col min="8963" max="8963" width="12.5703125" style="1" customWidth="1"/>
    <col min="8964" max="8964" width="6.85546875" style="1" customWidth="1"/>
    <col min="8965" max="8966" width="7" style="1" customWidth="1"/>
    <col min="8967" max="8972" width="6.140625" style="1" customWidth="1"/>
    <col min="8973" max="8974" width="7" style="1" customWidth="1"/>
    <col min="8975" max="8976" width="6.85546875" style="1" customWidth="1"/>
    <col min="8977" max="8979" width="6.140625" style="1" customWidth="1"/>
    <col min="8980" max="8980" width="11.7109375" style="1" customWidth="1"/>
    <col min="8981" max="8981" width="4.85546875" style="1" customWidth="1"/>
    <col min="8982" max="8983" width="6.140625" style="1" customWidth="1"/>
    <col min="8984" max="8984" width="6.85546875" style="1" customWidth="1"/>
    <col min="8985" max="8987" width="7.42578125" style="1" customWidth="1"/>
    <col min="8988" max="8991" width="6.140625" style="1" customWidth="1"/>
    <col min="8992" max="8993" width="7.42578125" style="1" customWidth="1"/>
    <col min="8994" max="8998" width="6.140625" style="1" customWidth="1"/>
    <col min="8999" max="9000" width="7.42578125" style="1" customWidth="1"/>
    <col min="9001" max="9001" width="12.5703125" style="1" customWidth="1"/>
    <col min="9002" max="9007" width="11.42578125" style="1" customWidth="1"/>
    <col min="9008" max="9010" width="12.5703125" style="1" customWidth="1"/>
    <col min="9011" max="9020" width="11.42578125" style="1" customWidth="1"/>
    <col min="9021" max="9021" width="12.5703125" style="1" customWidth="1"/>
    <col min="9022" max="9038" width="11.42578125" style="1" customWidth="1"/>
    <col min="9039" max="9039" width="12.5703125" style="1" customWidth="1"/>
    <col min="9040" max="9216" width="11.42578125" style="1"/>
    <col min="9217" max="9217" width="14.85546875" style="1" customWidth="1"/>
    <col min="9218" max="9218" width="11.28515625" style="1" customWidth="1"/>
    <col min="9219" max="9219" width="12.5703125" style="1" customWidth="1"/>
    <col min="9220" max="9220" width="6.85546875" style="1" customWidth="1"/>
    <col min="9221" max="9222" width="7" style="1" customWidth="1"/>
    <col min="9223" max="9228" width="6.140625" style="1" customWidth="1"/>
    <col min="9229" max="9230" width="7" style="1" customWidth="1"/>
    <col min="9231" max="9232" width="6.85546875" style="1" customWidth="1"/>
    <col min="9233" max="9235" width="6.140625" style="1" customWidth="1"/>
    <col min="9236" max="9236" width="11.7109375" style="1" customWidth="1"/>
    <col min="9237" max="9237" width="4.85546875" style="1" customWidth="1"/>
    <col min="9238" max="9239" width="6.140625" style="1" customWidth="1"/>
    <col min="9240" max="9240" width="6.85546875" style="1" customWidth="1"/>
    <col min="9241" max="9243" width="7.42578125" style="1" customWidth="1"/>
    <col min="9244" max="9247" width="6.140625" style="1" customWidth="1"/>
    <col min="9248" max="9249" width="7.42578125" style="1" customWidth="1"/>
    <col min="9250" max="9254" width="6.140625" style="1" customWidth="1"/>
    <col min="9255" max="9256" width="7.42578125" style="1" customWidth="1"/>
    <col min="9257" max="9257" width="12.5703125" style="1" customWidth="1"/>
    <col min="9258" max="9263" width="11.42578125" style="1" customWidth="1"/>
    <col min="9264" max="9266" width="12.5703125" style="1" customWidth="1"/>
    <col min="9267" max="9276" width="11.42578125" style="1" customWidth="1"/>
    <col min="9277" max="9277" width="12.5703125" style="1" customWidth="1"/>
    <col min="9278" max="9294" width="11.42578125" style="1" customWidth="1"/>
    <col min="9295" max="9295" width="12.5703125" style="1" customWidth="1"/>
    <col min="9296" max="9472" width="11.42578125" style="1"/>
    <col min="9473" max="9473" width="14.85546875" style="1" customWidth="1"/>
    <col min="9474" max="9474" width="11.28515625" style="1" customWidth="1"/>
    <col min="9475" max="9475" width="12.5703125" style="1" customWidth="1"/>
    <col min="9476" max="9476" width="6.85546875" style="1" customWidth="1"/>
    <col min="9477" max="9478" width="7" style="1" customWidth="1"/>
    <col min="9479" max="9484" width="6.140625" style="1" customWidth="1"/>
    <col min="9485" max="9486" width="7" style="1" customWidth="1"/>
    <col min="9487" max="9488" width="6.85546875" style="1" customWidth="1"/>
    <col min="9489" max="9491" width="6.140625" style="1" customWidth="1"/>
    <col min="9492" max="9492" width="11.7109375" style="1" customWidth="1"/>
    <col min="9493" max="9493" width="4.85546875" style="1" customWidth="1"/>
    <col min="9494" max="9495" width="6.140625" style="1" customWidth="1"/>
    <col min="9496" max="9496" width="6.85546875" style="1" customWidth="1"/>
    <col min="9497" max="9499" width="7.42578125" style="1" customWidth="1"/>
    <col min="9500" max="9503" width="6.140625" style="1" customWidth="1"/>
    <col min="9504" max="9505" width="7.42578125" style="1" customWidth="1"/>
    <col min="9506" max="9510" width="6.140625" style="1" customWidth="1"/>
    <col min="9511" max="9512" width="7.42578125" style="1" customWidth="1"/>
    <col min="9513" max="9513" width="12.5703125" style="1" customWidth="1"/>
    <col min="9514" max="9519" width="11.42578125" style="1" customWidth="1"/>
    <col min="9520" max="9522" width="12.5703125" style="1" customWidth="1"/>
    <col min="9523" max="9532" width="11.42578125" style="1" customWidth="1"/>
    <col min="9533" max="9533" width="12.5703125" style="1" customWidth="1"/>
    <col min="9534" max="9550" width="11.42578125" style="1" customWidth="1"/>
    <col min="9551" max="9551" width="12.5703125" style="1" customWidth="1"/>
    <col min="9552" max="9728" width="11.42578125" style="1"/>
    <col min="9729" max="9729" width="14.85546875" style="1" customWidth="1"/>
    <col min="9730" max="9730" width="11.28515625" style="1" customWidth="1"/>
    <col min="9731" max="9731" width="12.5703125" style="1" customWidth="1"/>
    <col min="9732" max="9732" width="6.85546875" style="1" customWidth="1"/>
    <col min="9733" max="9734" width="7" style="1" customWidth="1"/>
    <col min="9735" max="9740" width="6.140625" style="1" customWidth="1"/>
    <col min="9741" max="9742" width="7" style="1" customWidth="1"/>
    <col min="9743" max="9744" width="6.85546875" style="1" customWidth="1"/>
    <col min="9745" max="9747" width="6.140625" style="1" customWidth="1"/>
    <col min="9748" max="9748" width="11.7109375" style="1" customWidth="1"/>
    <col min="9749" max="9749" width="4.85546875" style="1" customWidth="1"/>
    <col min="9750" max="9751" width="6.140625" style="1" customWidth="1"/>
    <col min="9752" max="9752" width="6.85546875" style="1" customWidth="1"/>
    <col min="9753" max="9755" width="7.42578125" style="1" customWidth="1"/>
    <col min="9756" max="9759" width="6.140625" style="1" customWidth="1"/>
    <col min="9760" max="9761" width="7.42578125" style="1" customWidth="1"/>
    <col min="9762" max="9766" width="6.140625" style="1" customWidth="1"/>
    <col min="9767" max="9768" width="7.42578125" style="1" customWidth="1"/>
    <col min="9769" max="9769" width="12.5703125" style="1" customWidth="1"/>
    <col min="9770" max="9775" width="11.42578125" style="1" customWidth="1"/>
    <col min="9776" max="9778" width="12.5703125" style="1" customWidth="1"/>
    <col min="9779" max="9788" width="11.42578125" style="1" customWidth="1"/>
    <col min="9789" max="9789" width="12.5703125" style="1" customWidth="1"/>
    <col min="9790" max="9806" width="11.42578125" style="1" customWidth="1"/>
    <col min="9807" max="9807" width="12.5703125" style="1" customWidth="1"/>
    <col min="9808" max="9984" width="11.42578125" style="1"/>
    <col min="9985" max="9985" width="14.85546875" style="1" customWidth="1"/>
    <col min="9986" max="9986" width="11.28515625" style="1" customWidth="1"/>
    <col min="9987" max="9987" width="12.5703125" style="1" customWidth="1"/>
    <col min="9988" max="9988" width="6.85546875" style="1" customWidth="1"/>
    <col min="9989" max="9990" width="7" style="1" customWidth="1"/>
    <col min="9991" max="9996" width="6.140625" style="1" customWidth="1"/>
    <col min="9997" max="9998" width="7" style="1" customWidth="1"/>
    <col min="9999" max="10000" width="6.85546875" style="1" customWidth="1"/>
    <col min="10001" max="10003" width="6.140625" style="1" customWidth="1"/>
    <col min="10004" max="10004" width="11.7109375" style="1" customWidth="1"/>
    <col min="10005" max="10005" width="4.85546875" style="1" customWidth="1"/>
    <col min="10006" max="10007" width="6.140625" style="1" customWidth="1"/>
    <col min="10008" max="10008" width="6.85546875" style="1" customWidth="1"/>
    <col min="10009" max="10011" width="7.42578125" style="1" customWidth="1"/>
    <col min="10012" max="10015" width="6.140625" style="1" customWidth="1"/>
    <col min="10016" max="10017" width="7.42578125" style="1" customWidth="1"/>
    <col min="10018" max="10022" width="6.140625" style="1" customWidth="1"/>
    <col min="10023" max="10024" width="7.42578125" style="1" customWidth="1"/>
    <col min="10025" max="10025" width="12.5703125" style="1" customWidth="1"/>
    <col min="10026" max="10031" width="11.42578125" style="1" customWidth="1"/>
    <col min="10032" max="10034" width="12.5703125" style="1" customWidth="1"/>
    <col min="10035" max="10044" width="11.42578125" style="1" customWidth="1"/>
    <col min="10045" max="10045" width="12.5703125" style="1" customWidth="1"/>
    <col min="10046" max="10062" width="11.42578125" style="1" customWidth="1"/>
    <col min="10063" max="10063" width="12.5703125" style="1" customWidth="1"/>
    <col min="10064" max="10240" width="11.42578125" style="1"/>
    <col min="10241" max="10241" width="14.85546875" style="1" customWidth="1"/>
    <col min="10242" max="10242" width="11.28515625" style="1" customWidth="1"/>
    <col min="10243" max="10243" width="12.5703125" style="1" customWidth="1"/>
    <col min="10244" max="10244" width="6.85546875" style="1" customWidth="1"/>
    <col min="10245" max="10246" width="7" style="1" customWidth="1"/>
    <col min="10247" max="10252" width="6.140625" style="1" customWidth="1"/>
    <col min="10253" max="10254" width="7" style="1" customWidth="1"/>
    <col min="10255" max="10256" width="6.85546875" style="1" customWidth="1"/>
    <col min="10257" max="10259" width="6.140625" style="1" customWidth="1"/>
    <col min="10260" max="10260" width="11.7109375" style="1" customWidth="1"/>
    <col min="10261" max="10261" width="4.85546875" style="1" customWidth="1"/>
    <col min="10262" max="10263" width="6.140625" style="1" customWidth="1"/>
    <col min="10264" max="10264" width="6.85546875" style="1" customWidth="1"/>
    <col min="10265" max="10267" width="7.42578125" style="1" customWidth="1"/>
    <col min="10268" max="10271" width="6.140625" style="1" customWidth="1"/>
    <col min="10272" max="10273" width="7.42578125" style="1" customWidth="1"/>
    <col min="10274" max="10278" width="6.140625" style="1" customWidth="1"/>
    <col min="10279" max="10280" width="7.42578125" style="1" customWidth="1"/>
    <col min="10281" max="10281" width="12.5703125" style="1" customWidth="1"/>
    <col min="10282" max="10287" width="11.42578125" style="1" customWidth="1"/>
    <col min="10288" max="10290" width="12.5703125" style="1" customWidth="1"/>
    <col min="10291" max="10300" width="11.42578125" style="1" customWidth="1"/>
    <col min="10301" max="10301" width="12.5703125" style="1" customWidth="1"/>
    <col min="10302" max="10318" width="11.42578125" style="1" customWidth="1"/>
    <col min="10319" max="10319" width="12.5703125" style="1" customWidth="1"/>
    <col min="10320" max="10496" width="11.42578125" style="1"/>
    <col min="10497" max="10497" width="14.85546875" style="1" customWidth="1"/>
    <col min="10498" max="10498" width="11.28515625" style="1" customWidth="1"/>
    <col min="10499" max="10499" width="12.5703125" style="1" customWidth="1"/>
    <col min="10500" max="10500" width="6.85546875" style="1" customWidth="1"/>
    <col min="10501" max="10502" width="7" style="1" customWidth="1"/>
    <col min="10503" max="10508" width="6.140625" style="1" customWidth="1"/>
    <col min="10509" max="10510" width="7" style="1" customWidth="1"/>
    <col min="10511" max="10512" width="6.85546875" style="1" customWidth="1"/>
    <col min="10513" max="10515" width="6.140625" style="1" customWidth="1"/>
    <col min="10516" max="10516" width="11.7109375" style="1" customWidth="1"/>
    <col min="10517" max="10517" width="4.85546875" style="1" customWidth="1"/>
    <col min="10518" max="10519" width="6.140625" style="1" customWidth="1"/>
    <col min="10520" max="10520" width="6.85546875" style="1" customWidth="1"/>
    <col min="10521" max="10523" width="7.42578125" style="1" customWidth="1"/>
    <col min="10524" max="10527" width="6.140625" style="1" customWidth="1"/>
    <col min="10528" max="10529" width="7.42578125" style="1" customWidth="1"/>
    <col min="10530" max="10534" width="6.140625" style="1" customWidth="1"/>
    <col min="10535" max="10536" width="7.42578125" style="1" customWidth="1"/>
    <col min="10537" max="10537" width="12.5703125" style="1" customWidth="1"/>
    <col min="10538" max="10543" width="11.42578125" style="1" customWidth="1"/>
    <col min="10544" max="10546" width="12.5703125" style="1" customWidth="1"/>
    <col min="10547" max="10556" width="11.42578125" style="1" customWidth="1"/>
    <col min="10557" max="10557" width="12.5703125" style="1" customWidth="1"/>
    <col min="10558" max="10574" width="11.42578125" style="1" customWidth="1"/>
    <col min="10575" max="10575" width="12.5703125" style="1" customWidth="1"/>
    <col min="10576" max="10752" width="11.42578125" style="1"/>
    <col min="10753" max="10753" width="14.85546875" style="1" customWidth="1"/>
    <col min="10754" max="10754" width="11.28515625" style="1" customWidth="1"/>
    <col min="10755" max="10755" width="12.5703125" style="1" customWidth="1"/>
    <col min="10756" max="10756" width="6.85546875" style="1" customWidth="1"/>
    <col min="10757" max="10758" width="7" style="1" customWidth="1"/>
    <col min="10759" max="10764" width="6.140625" style="1" customWidth="1"/>
    <col min="10765" max="10766" width="7" style="1" customWidth="1"/>
    <col min="10767" max="10768" width="6.85546875" style="1" customWidth="1"/>
    <col min="10769" max="10771" width="6.140625" style="1" customWidth="1"/>
    <col min="10772" max="10772" width="11.7109375" style="1" customWidth="1"/>
    <col min="10773" max="10773" width="4.85546875" style="1" customWidth="1"/>
    <col min="10774" max="10775" width="6.140625" style="1" customWidth="1"/>
    <col min="10776" max="10776" width="6.85546875" style="1" customWidth="1"/>
    <col min="10777" max="10779" width="7.42578125" style="1" customWidth="1"/>
    <col min="10780" max="10783" width="6.140625" style="1" customWidth="1"/>
    <col min="10784" max="10785" width="7.42578125" style="1" customWidth="1"/>
    <col min="10786" max="10790" width="6.140625" style="1" customWidth="1"/>
    <col min="10791" max="10792" width="7.42578125" style="1" customWidth="1"/>
    <col min="10793" max="10793" width="12.5703125" style="1" customWidth="1"/>
    <col min="10794" max="10799" width="11.42578125" style="1" customWidth="1"/>
    <col min="10800" max="10802" width="12.5703125" style="1" customWidth="1"/>
    <col min="10803" max="10812" width="11.42578125" style="1" customWidth="1"/>
    <col min="10813" max="10813" width="12.5703125" style="1" customWidth="1"/>
    <col min="10814" max="10830" width="11.42578125" style="1" customWidth="1"/>
    <col min="10831" max="10831" width="12.5703125" style="1" customWidth="1"/>
    <col min="10832" max="11008" width="11.42578125" style="1"/>
    <col min="11009" max="11009" width="14.85546875" style="1" customWidth="1"/>
    <col min="11010" max="11010" width="11.28515625" style="1" customWidth="1"/>
    <col min="11011" max="11011" width="12.5703125" style="1" customWidth="1"/>
    <col min="11012" max="11012" width="6.85546875" style="1" customWidth="1"/>
    <col min="11013" max="11014" width="7" style="1" customWidth="1"/>
    <col min="11015" max="11020" width="6.140625" style="1" customWidth="1"/>
    <col min="11021" max="11022" width="7" style="1" customWidth="1"/>
    <col min="11023" max="11024" width="6.85546875" style="1" customWidth="1"/>
    <col min="11025" max="11027" width="6.140625" style="1" customWidth="1"/>
    <col min="11028" max="11028" width="11.7109375" style="1" customWidth="1"/>
    <col min="11029" max="11029" width="4.85546875" style="1" customWidth="1"/>
    <col min="11030" max="11031" width="6.140625" style="1" customWidth="1"/>
    <col min="11032" max="11032" width="6.85546875" style="1" customWidth="1"/>
    <col min="11033" max="11035" width="7.42578125" style="1" customWidth="1"/>
    <col min="11036" max="11039" width="6.140625" style="1" customWidth="1"/>
    <col min="11040" max="11041" width="7.42578125" style="1" customWidth="1"/>
    <col min="11042" max="11046" width="6.140625" style="1" customWidth="1"/>
    <col min="11047" max="11048" width="7.42578125" style="1" customWidth="1"/>
    <col min="11049" max="11049" width="12.5703125" style="1" customWidth="1"/>
    <col min="11050" max="11055" width="11.42578125" style="1" customWidth="1"/>
    <col min="11056" max="11058" width="12.5703125" style="1" customWidth="1"/>
    <col min="11059" max="11068" width="11.42578125" style="1" customWidth="1"/>
    <col min="11069" max="11069" width="12.5703125" style="1" customWidth="1"/>
    <col min="11070" max="11086" width="11.42578125" style="1" customWidth="1"/>
    <col min="11087" max="11087" width="12.5703125" style="1" customWidth="1"/>
    <col min="11088" max="11264" width="11.42578125" style="1"/>
    <col min="11265" max="11265" width="14.85546875" style="1" customWidth="1"/>
    <col min="11266" max="11266" width="11.28515625" style="1" customWidth="1"/>
    <col min="11267" max="11267" width="12.5703125" style="1" customWidth="1"/>
    <col min="11268" max="11268" width="6.85546875" style="1" customWidth="1"/>
    <col min="11269" max="11270" width="7" style="1" customWidth="1"/>
    <col min="11271" max="11276" width="6.140625" style="1" customWidth="1"/>
    <col min="11277" max="11278" width="7" style="1" customWidth="1"/>
    <col min="11279" max="11280" width="6.85546875" style="1" customWidth="1"/>
    <col min="11281" max="11283" width="6.140625" style="1" customWidth="1"/>
    <col min="11284" max="11284" width="11.7109375" style="1" customWidth="1"/>
    <col min="11285" max="11285" width="4.85546875" style="1" customWidth="1"/>
    <col min="11286" max="11287" width="6.140625" style="1" customWidth="1"/>
    <col min="11288" max="11288" width="6.85546875" style="1" customWidth="1"/>
    <col min="11289" max="11291" width="7.42578125" style="1" customWidth="1"/>
    <col min="11292" max="11295" width="6.140625" style="1" customWidth="1"/>
    <col min="11296" max="11297" width="7.42578125" style="1" customWidth="1"/>
    <col min="11298" max="11302" width="6.140625" style="1" customWidth="1"/>
    <col min="11303" max="11304" width="7.42578125" style="1" customWidth="1"/>
    <col min="11305" max="11305" width="12.5703125" style="1" customWidth="1"/>
    <col min="11306" max="11311" width="11.42578125" style="1" customWidth="1"/>
    <col min="11312" max="11314" width="12.5703125" style="1" customWidth="1"/>
    <col min="11315" max="11324" width="11.42578125" style="1" customWidth="1"/>
    <col min="11325" max="11325" width="12.5703125" style="1" customWidth="1"/>
    <col min="11326" max="11342" width="11.42578125" style="1" customWidth="1"/>
    <col min="11343" max="11343" width="12.5703125" style="1" customWidth="1"/>
    <col min="11344" max="11520" width="11.42578125" style="1"/>
    <col min="11521" max="11521" width="14.85546875" style="1" customWidth="1"/>
    <col min="11522" max="11522" width="11.28515625" style="1" customWidth="1"/>
    <col min="11523" max="11523" width="12.5703125" style="1" customWidth="1"/>
    <col min="11524" max="11524" width="6.85546875" style="1" customWidth="1"/>
    <col min="11525" max="11526" width="7" style="1" customWidth="1"/>
    <col min="11527" max="11532" width="6.140625" style="1" customWidth="1"/>
    <col min="11533" max="11534" width="7" style="1" customWidth="1"/>
    <col min="11535" max="11536" width="6.85546875" style="1" customWidth="1"/>
    <col min="11537" max="11539" width="6.140625" style="1" customWidth="1"/>
    <col min="11540" max="11540" width="11.7109375" style="1" customWidth="1"/>
    <col min="11541" max="11541" width="4.85546875" style="1" customWidth="1"/>
    <col min="11542" max="11543" width="6.140625" style="1" customWidth="1"/>
    <col min="11544" max="11544" width="6.85546875" style="1" customWidth="1"/>
    <col min="11545" max="11547" width="7.42578125" style="1" customWidth="1"/>
    <col min="11548" max="11551" width="6.140625" style="1" customWidth="1"/>
    <col min="11552" max="11553" width="7.42578125" style="1" customWidth="1"/>
    <col min="11554" max="11558" width="6.140625" style="1" customWidth="1"/>
    <col min="11559" max="11560" width="7.42578125" style="1" customWidth="1"/>
    <col min="11561" max="11561" width="12.5703125" style="1" customWidth="1"/>
    <col min="11562" max="11567" width="11.42578125" style="1" customWidth="1"/>
    <col min="11568" max="11570" width="12.5703125" style="1" customWidth="1"/>
    <col min="11571" max="11580" width="11.42578125" style="1" customWidth="1"/>
    <col min="11581" max="11581" width="12.5703125" style="1" customWidth="1"/>
    <col min="11582" max="11598" width="11.42578125" style="1" customWidth="1"/>
    <col min="11599" max="11599" width="12.5703125" style="1" customWidth="1"/>
    <col min="11600" max="11776" width="11.42578125" style="1"/>
    <col min="11777" max="11777" width="14.85546875" style="1" customWidth="1"/>
    <col min="11778" max="11778" width="11.28515625" style="1" customWidth="1"/>
    <col min="11779" max="11779" width="12.5703125" style="1" customWidth="1"/>
    <col min="11780" max="11780" width="6.85546875" style="1" customWidth="1"/>
    <col min="11781" max="11782" width="7" style="1" customWidth="1"/>
    <col min="11783" max="11788" width="6.140625" style="1" customWidth="1"/>
    <col min="11789" max="11790" width="7" style="1" customWidth="1"/>
    <col min="11791" max="11792" width="6.85546875" style="1" customWidth="1"/>
    <col min="11793" max="11795" width="6.140625" style="1" customWidth="1"/>
    <col min="11796" max="11796" width="11.7109375" style="1" customWidth="1"/>
    <col min="11797" max="11797" width="4.85546875" style="1" customWidth="1"/>
    <col min="11798" max="11799" width="6.140625" style="1" customWidth="1"/>
    <col min="11800" max="11800" width="6.85546875" style="1" customWidth="1"/>
    <col min="11801" max="11803" width="7.42578125" style="1" customWidth="1"/>
    <col min="11804" max="11807" width="6.140625" style="1" customWidth="1"/>
    <col min="11808" max="11809" width="7.42578125" style="1" customWidth="1"/>
    <col min="11810" max="11814" width="6.140625" style="1" customWidth="1"/>
    <col min="11815" max="11816" width="7.42578125" style="1" customWidth="1"/>
    <col min="11817" max="11817" width="12.5703125" style="1" customWidth="1"/>
    <col min="11818" max="11823" width="11.42578125" style="1" customWidth="1"/>
    <col min="11824" max="11826" width="12.5703125" style="1" customWidth="1"/>
    <col min="11827" max="11836" width="11.42578125" style="1" customWidth="1"/>
    <col min="11837" max="11837" width="12.5703125" style="1" customWidth="1"/>
    <col min="11838" max="11854" width="11.42578125" style="1" customWidth="1"/>
    <col min="11855" max="11855" width="12.5703125" style="1" customWidth="1"/>
    <col min="11856" max="12032" width="11.42578125" style="1"/>
    <col min="12033" max="12033" width="14.85546875" style="1" customWidth="1"/>
    <col min="12034" max="12034" width="11.28515625" style="1" customWidth="1"/>
    <col min="12035" max="12035" width="12.5703125" style="1" customWidth="1"/>
    <col min="12036" max="12036" width="6.85546875" style="1" customWidth="1"/>
    <col min="12037" max="12038" width="7" style="1" customWidth="1"/>
    <col min="12039" max="12044" width="6.140625" style="1" customWidth="1"/>
    <col min="12045" max="12046" width="7" style="1" customWidth="1"/>
    <col min="12047" max="12048" width="6.85546875" style="1" customWidth="1"/>
    <col min="12049" max="12051" width="6.140625" style="1" customWidth="1"/>
    <col min="12052" max="12052" width="11.7109375" style="1" customWidth="1"/>
    <col min="12053" max="12053" width="4.85546875" style="1" customWidth="1"/>
    <col min="12054" max="12055" width="6.140625" style="1" customWidth="1"/>
    <col min="12056" max="12056" width="6.85546875" style="1" customWidth="1"/>
    <col min="12057" max="12059" width="7.42578125" style="1" customWidth="1"/>
    <col min="12060" max="12063" width="6.140625" style="1" customWidth="1"/>
    <col min="12064" max="12065" width="7.42578125" style="1" customWidth="1"/>
    <col min="12066" max="12070" width="6.140625" style="1" customWidth="1"/>
    <col min="12071" max="12072" width="7.42578125" style="1" customWidth="1"/>
    <col min="12073" max="12073" width="12.5703125" style="1" customWidth="1"/>
    <col min="12074" max="12079" width="11.42578125" style="1" customWidth="1"/>
    <col min="12080" max="12082" width="12.5703125" style="1" customWidth="1"/>
    <col min="12083" max="12092" width="11.42578125" style="1" customWidth="1"/>
    <col min="12093" max="12093" width="12.5703125" style="1" customWidth="1"/>
    <col min="12094" max="12110" width="11.42578125" style="1" customWidth="1"/>
    <col min="12111" max="12111" width="12.5703125" style="1" customWidth="1"/>
    <col min="12112" max="12288" width="11.42578125" style="1"/>
    <col min="12289" max="12289" width="14.85546875" style="1" customWidth="1"/>
    <col min="12290" max="12290" width="11.28515625" style="1" customWidth="1"/>
    <col min="12291" max="12291" width="12.5703125" style="1" customWidth="1"/>
    <col min="12292" max="12292" width="6.85546875" style="1" customWidth="1"/>
    <col min="12293" max="12294" width="7" style="1" customWidth="1"/>
    <col min="12295" max="12300" width="6.140625" style="1" customWidth="1"/>
    <col min="12301" max="12302" width="7" style="1" customWidth="1"/>
    <col min="12303" max="12304" width="6.85546875" style="1" customWidth="1"/>
    <col min="12305" max="12307" width="6.140625" style="1" customWidth="1"/>
    <col min="12308" max="12308" width="11.7109375" style="1" customWidth="1"/>
    <col min="12309" max="12309" width="4.85546875" style="1" customWidth="1"/>
    <col min="12310" max="12311" width="6.140625" style="1" customWidth="1"/>
    <col min="12312" max="12312" width="6.85546875" style="1" customWidth="1"/>
    <col min="12313" max="12315" width="7.42578125" style="1" customWidth="1"/>
    <col min="12316" max="12319" width="6.140625" style="1" customWidth="1"/>
    <col min="12320" max="12321" width="7.42578125" style="1" customWidth="1"/>
    <col min="12322" max="12326" width="6.140625" style="1" customWidth="1"/>
    <col min="12327" max="12328" width="7.42578125" style="1" customWidth="1"/>
    <col min="12329" max="12329" width="12.5703125" style="1" customWidth="1"/>
    <col min="12330" max="12335" width="11.42578125" style="1" customWidth="1"/>
    <col min="12336" max="12338" width="12.5703125" style="1" customWidth="1"/>
    <col min="12339" max="12348" width="11.42578125" style="1" customWidth="1"/>
    <col min="12349" max="12349" width="12.5703125" style="1" customWidth="1"/>
    <col min="12350" max="12366" width="11.42578125" style="1" customWidth="1"/>
    <col min="12367" max="12367" width="12.5703125" style="1" customWidth="1"/>
    <col min="12368" max="12544" width="11.42578125" style="1"/>
    <col min="12545" max="12545" width="14.85546875" style="1" customWidth="1"/>
    <col min="12546" max="12546" width="11.28515625" style="1" customWidth="1"/>
    <col min="12547" max="12547" width="12.5703125" style="1" customWidth="1"/>
    <col min="12548" max="12548" width="6.85546875" style="1" customWidth="1"/>
    <col min="12549" max="12550" width="7" style="1" customWidth="1"/>
    <col min="12551" max="12556" width="6.140625" style="1" customWidth="1"/>
    <col min="12557" max="12558" width="7" style="1" customWidth="1"/>
    <col min="12559" max="12560" width="6.85546875" style="1" customWidth="1"/>
    <col min="12561" max="12563" width="6.140625" style="1" customWidth="1"/>
    <col min="12564" max="12564" width="11.7109375" style="1" customWidth="1"/>
    <col min="12565" max="12565" width="4.85546875" style="1" customWidth="1"/>
    <col min="12566" max="12567" width="6.140625" style="1" customWidth="1"/>
    <col min="12568" max="12568" width="6.85546875" style="1" customWidth="1"/>
    <col min="12569" max="12571" width="7.42578125" style="1" customWidth="1"/>
    <col min="12572" max="12575" width="6.140625" style="1" customWidth="1"/>
    <col min="12576" max="12577" width="7.42578125" style="1" customWidth="1"/>
    <col min="12578" max="12582" width="6.140625" style="1" customWidth="1"/>
    <col min="12583" max="12584" width="7.42578125" style="1" customWidth="1"/>
    <col min="12585" max="12585" width="12.5703125" style="1" customWidth="1"/>
    <col min="12586" max="12591" width="11.42578125" style="1" customWidth="1"/>
    <col min="12592" max="12594" width="12.5703125" style="1" customWidth="1"/>
    <col min="12595" max="12604" width="11.42578125" style="1" customWidth="1"/>
    <col min="12605" max="12605" width="12.5703125" style="1" customWidth="1"/>
    <col min="12606" max="12622" width="11.42578125" style="1" customWidth="1"/>
    <col min="12623" max="12623" width="12.5703125" style="1" customWidth="1"/>
    <col min="12624" max="12800" width="11.42578125" style="1"/>
    <col min="12801" max="12801" width="14.85546875" style="1" customWidth="1"/>
    <col min="12802" max="12802" width="11.28515625" style="1" customWidth="1"/>
    <col min="12803" max="12803" width="12.5703125" style="1" customWidth="1"/>
    <col min="12804" max="12804" width="6.85546875" style="1" customWidth="1"/>
    <col min="12805" max="12806" width="7" style="1" customWidth="1"/>
    <col min="12807" max="12812" width="6.140625" style="1" customWidth="1"/>
    <col min="12813" max="12814" width="7" style="1" customWidth="1"/>
    <col min="12815" max="12816" width="6.85546875" style="1" customWidth="1"/>
    <col min="12817" max="12819" width="6.140625" style="1" customWidth="1"/>
    <col min="12820" max="12820" width="11.7109375" style="1" customWidth="1"/>
    <col min="12821" max="12821" width="4.85546875" style="1" customWidth="1"/>
    <col min="12822" max="12823" width="6.140625" style="1" customWidth="1"/>
    <col min="12824" max="12824" width="6.85546875" style="1" customWidth="1"/>
    <col min="12825" max="12827" width="7.42578125" style="1" customWidth="1"/>
    <col min="12828" max="12831" width="6.140625" style="1" customWidth="1"/>
    <col min="12832" max="12833" width="7.42578125" style="1" customWidth="1"/>
    <col min="12834" max="12838" width="6.140625" style="1" customWidth="1"/>
    <col min="12839" max="12840" width="7.42578125" style="1" customWidth="1"/>
    <col min="12841" max="12841" width="12.5703125" style="1" customWidth="1"/>
    <col min="12842" max="12847" width="11.42578125" style="1" customWidth="1"/>
    <col min="12848" max="12850" width="12.5703125" style="1" customWidth="1"/>
    <col min="12851" max="12860" width="11.42578125" style="1" customWidth="1"/>
    <col min="12861" max="12861" width="12.5703125" style="1" customWidth="1"/>
    <col min="12862" max="12878" width="11.42578125" style="1" customWidth="1"/>
    <col min="12879" max="12879" width="12.5703125" style="1" customWidth="1"/>
    <col min="12880" max="13056" width="11.42578125" style="1"/>
    <col min="13057" max="13057" width="14.85546875" style="1" customWidth="1"/>
    <col min="13058" max="13058" width="11.28515625" style="1" customWidth="1"/>
    <col min="13059" max="13059" width="12.5703125" style="1" customWidth="1"/>
    <col min="13060" max="13060" width="6.85546875" style="1" customWidth="1"/>
    <col min="13061" max="13062" width="7" style="1" customWidth="1"/>
    <col min="13063" max="13068" width="6.140625" style="1" customWidth="1"/>
    <col min="13069" max="13070" width="7" style="1" customWidth="1"/>
    <col min="13071" max="13072" width="6.85546875" style="1" customWidth="1"/>
    <col min="13073" max="13075" width="6.140625" style="1" customWidth="1"/>
    <col min="13076" max="13076" width="11.7109375" style="1" customWidth="1"/>
    <col min="13077" max="13077" width="4.85546875" style="1" customWidth="1"/>
    <col min="13078" max="13079" width="6.140625" style="1" customWidth="1"/>
    <col min="13080" max="13080" width="6.85546875" style="1" customWidth="1"/>
    <col min="13081" max="13083" width="7.42578125" style="1" customWidth="1"/>
    <col min="13084" max="13087" width="6.140625" style="1" customWidth="1"/>
    <col min="13088" max="13089" width="7.42578125" style="1" customWidth="1"/>
    <col min="13090" max="13094" width="6.140625" style="1" customWidth="1"/>
    <col min="13095" max="13096" width="7.42578125" style="1" customWidth="1"/>
    <col min="13097" max="13097" width="12.5703125" style="1" customWidth="1"/>
    <col min="13098" max="13103" width="11.42578125" style="1" customWidth="1"/>
    <col min="13104" max="13106" width="12.5703125" style="1" customWidth="1"/>
    <col min="13107" max="13116" width="11.42578125" style="1" customWidth="1"/>
    <col min="13117" max="13117" width="12.5703125" style="1" customWidth="1"/>
    <col min="13118" max="13134" width="11.42578125" style="1" customWidth="1"/>
    <col min="13135" max="13135" width="12.5703125" style="1" customWidth="1"/>
    <col min="13136" max="13312" width="11.42578125" style="1"/>
    <col min="13313" max="13313" width="14.85546875" style="1" customWidth="1"/>
    <col min="13314" max="13314" width="11.28515625" style="1" customWidth="1"/>
    <col min="13315" max="13315" width="12.5703125" style="1" customWidth="1"/>
    <col min="13316" max="13316" width="6.85546875" style="1" customWidth="1"/>
    <col min="13317" max="13318" width="7" style="1" customWidth="1"/>
    <col min="13319" max="13324" width="6.140625" style="1" customWidth="1"/>
    <col min="13325" max="13326" width="7" style="1" customWidth="1"/>
    <col min="13327" max="13328" width="6.85546875" style="1" customWidth="1"/>
    <col min="13329" max="13331" width="6.140625" style="1" customWidth="1"/>
    <col min="13332" max="13332" width="11.7109375" style="1" customWidth="1"/>
    <col min="13333" max="13333" width="4.85546875" style="1" customWidth="1"/>
    <col min="13334" max="13335" width="6.140625" style="1" customWidth="1"/>
    <col min="13336" max="13336" width="6.85546875" style="1" customWidth="1"/>
    <col min="13337" max="13339" width="7.42578125" style="1" customWidth="1"/>
    <col min="13340" max="13343" width="6.140625" style="1" customWidth="1"/>
    <col min="13344" max="13345" width="7.42578125" style="1" customWidth="1"/>
    <col min="13346" max="13350" width="6.140625" style="1" customWidth="1"/>
    <col min="13351" max="13352" width="7.42578125" style="1" customWidth="1"/>
    <col min="13353" max="13353" width="12.5703125" style="1" customWidth="1"/>
    <col min="13354" max="13359" width="11.42578125" style="1" customWidth="1"/>
    <col min="13360" max="13362" width="12.5703125" style="1" customWidth="1"/>
    <col min="13363" max="13372" width="11.42578125" style="1" customWidth="1"/>
    <col min="13373" max="13373" width="12.5703125" style="1" customWidth="1"/>
    <col min="13374" max="13390" width="11.42578125" style="1" customWidth="1"/>
    <col min="13391" max="13391" width="12.5703125" style="1" customWidth="1"/>
    <col min="13392" max="13568" width="11.42578125" style="1"/>
    <col min="13569" max="13569" width="14.85546875" style="1" customWidth="1"/>
    <col min="13570" max="13570" width="11.28515625" style="1" customWidth="1"/>
    <col min="13571" max="13571" width="12.5703125" style="1" customWidth="1"/>
    <col min="13572" max="13572" width="6.85546875" style="1" customWidth="1"/>
    <col min="13573" max="13574" width="7" style="1" customWidth="1"/>
    <col min="13575" max="13580" width="6.140625" style="1" customWidth="1"/>
    <col min="13581" max="13582" width="7" style="1" customWidth="1"/>
    <col min="13583" max="13584" width="6.85546875" style="1" customWidth="1"/>
    <col min="13585" max="13587" width="6.140625" style="1" customWidth="1"/>
    <col min="13588" max="13588" width="11.7109375" style="1" customWidth="1"/>
    <col min="13589" max="13589" width="4.85546875" style="1" customWidth="1"/>
    <col min="13590" max="13591" width="6.140625" style="1" customWidth="1"/>
    <col min="13592" max="13592" width="6.85546875" style="1" customWidth="1"/>
    <col min="13593" max="13595" width="7.42578125" style="1" customWidth="1"/>
    <col min="13596" max="13599" width="6.140625" style="1" customWidth="1"/>
    <col min="13600" max="13601" width="7.42578125" style="1" customWidth="1"/>
    <col min="13602" max="13606" width="6.140625" style="1" customWidth="1"/>
    <col min="13607" max="13608" width="7.42578125" style="1" customWidth="1"/>
    <col min="13609" max="13609" width="12.5703125" style="1" customWidth="1"/>
    <col min="13610" max="13615" width="11.42578125" style="1" customWidth="1"/>
    <col min="13616" max="13618" width="12.5703125" style="1" customWidth="1"/>
    <col min="13619" max="13628" width="11.42578125" style="1" customWidth="1"/>
    <col min="13629" max="13629" width="12.5703125" style="1" customWidth="1"/>
    <col min="13630" max="13646" width="11.42578125" style="1" customWidth="1"/>
    <col min="13647" max="13647" width="12.5703125" style="1" customWidth="1"/>
    <col min="13648" max="13824" width="11.42578125" style="1"/>
    <col min="13825" max="13825" width="14.85546875" style="1" customWidth="1"/>
    <col min="13826" max="13826" width="11.28515625" style="1" customWidth="1"/>
    <col min="13827" max="13827" width="12.5703125" style="1" customWidth="1"/>
    <col min="13828" max="13828" width="6.85546875" style="1" customWidth="1"/>
    <col min="13829" max="13830" width="7" style="1" customWidth="1"/>
    <col min="13831" max="13836" width="6.140625" style="1" customWidth="1"/>
    <col min="13837" max="13838" width="7" style="1" customWidth="1"/>
    <col min="13839" max="13840" width="6.85546875" style="1" customWidth="1"/>
    <col min="13841" max="13843" width="6.140625" style="1" customWidth="1"/>
    <col min="13844" max="13844" width="11.7109375" style="1" customWidth="1"/>
    <col min="13845" max="13845" width="4.85546875" style="1" customWidth="1"/>
    <col min="13846" max="13847" width="6.140625" style="1" customWidth="1"/>
    <col min="13848" max="13848" width="6.85546875" style="1" customWidth="1"/>
    <col min="13849" max="13851" width="7.42578125" style="1" customWidth="1"/>
    <col min="13852" max="13855" width="6.140625" style="1" customWidth="1"/>
    <col min="13856" max="13857" width="7.42578125" style="1" customWidth="1"/>
    <col min="13858" max="13862" width="6.140625" style="1" customWidth="1"/>
    <col min="13863" max="13864" width="7.42578125" style="1" customWidth="1"/>
    <col min="13865" max="13865" width="12.5703125" style="1" customWidth="1"/>
    <col min="13866" max="13871" width="11.42578125" style="1" customWidth="1"/>
    <col min="13872" max="13874" width="12.5703125" style="1" customWidth="1"/>
    <col min="13875" max="13884" width="11.42578125" style="1" customWidth="1"/>
    <col min="13885" max="13885" width="12.5703125" style="1" customWidth="1"/>
    <col min="13886" max="13902" width="11.42578125" style="1" customWidth="1"/>
    <col min="13903" max="13903" width="12.5703125" style="1" customWidth="1"/>
    <col min="13904" max="14080" width="11.42578125" style="1"/>
    <col min="14081" max="14081" width="14.85546875" style="1" customWidth="1"/>
    <col min="14082" max="14082" width="11.28515625" style="1" customWidth="1"/>
    <col min="14083" max="14083" width="12.5703125" style="1" customWidth="1"/>
    <col min="14084" max="14084" width="6.85546875" style="1" customWidth="1"/>
    <col min="14085" max="14086" width="7" style="1" customWidth="1"/>
    <col min="14087" max="14092" width="6.140625" style="1" customWidth="1"/>
    <col min="14093" max="14094" width="7" style="1" customWidth="1"/>
    <col min="14095" max="14096" width="6.85546875" style="1" customWidth="1"/>
    <col min="14097" max="14099" width="6.140625" style="1" customWidth="1"/>
    <col min="14100" max="14100" width="11.7109375" style="1" customWidth="1"/>
    <col min="14101" max="14101" width="4.85546875" style="1" customWidth="1"/>
    <col min="14102" max="14103" width="6.140625" style="1" customWidth="1"/>
    <col min="14104" max="14104" width="6.85546875" style="1" customWidth="1"/>
    <col min="14105" max="14107" width="7.42578125" style="1" customWidth="1"/>
    <col min="14108" max="14111" width="6.140625" style="1" customWidth="1"/>
    <col min="14112" max="14113" width="7.42578125" style="1" customWidth="1"/>
    <col min="14114" max="14118" width="6.140625" style="1" customWidth="1"/>
    <col min="14119" max="14120" width="7.42578125" style="1" customWidth="1"/>
    <col min="14121" max="14121" width="12.5703125" style="1" customWidth="1"/>
    <col min="14122" max="14127" width="11.42578125" style="1" customWidth="1"/>
    <col min="14128" max="14130" width="12.5703125" style="1" customWidth="1"/>
    <col min="14131" max="14140" width="11.42578125" style="1" customWidth="1"/>
    <col min="14141" max="14141" width="12.5703125" style="1" customWidth="1"/>
    <col min="14142" max="14158" width="11.42578125" style="1" customWidth="1"/>
    <col min="14159" max="14159" width="12.5703125" style="1" customWidth="1"/>
    <col min="14160" max="14336" width="11.42578125" style="1"/>
    <col min="14337" max="14337" width="14.85546875" style="1" customWidth="1"/>
    <col min="14338" max="14338" width="11.28515625" style="1" customWidth="1"/>
    <col min="14339" max="14339" width="12.5703125" style="1" customWidth="1"/>
    <col min="14340" max="14340" width="6.85546875" style="1" customWidth="1"/>
    <col min="14341" max="14342" width="7" style="1" customWidth="1"/>
    <col min="14343" max="14348" width="6.140625" style="1" customWidth="1"/>
    <col min="14349" max="14350" width="7" style="1" customWidth="1"/>
    <col min="14351" max="14352" width="6.85546875" style="1" customWidth="1"/>
    <col min="14353" max="14355" width="6.140625" style="1" customWidth="1"/>
    <col min="14356" max="14356" width="11.7109375" style="1" customWidth="1"/>
    <col min="14357" max="14357" width="4.85546875" style="1" customWidth="1"/>
    <col min="14358" max="14359" width="6.140625" style="1" customWidth="1"/>
    <col min="14360" max="14360" width="6.85546875" style="1" customWidth="1"/>
    <col min="14361" max="14363" width="7.42578125" style="1" customWidth="1"/>
    <col min="14364" max="14367" width="6.140625" style="1" customWidth="1"/>
    <col min="14368" max="14369" width="7.42578125" style="1" customWidth="1"/>
    <col min="14370" max="14374" width="6.140625" style="1" customWidth="1"/>
    <col min="14375" max="14376" width="7.42578125" style="1" customWidth="1"/>
    <col min="14377" max="14377" width="12.5703125" style="1" customWidth="1"/>
    <col min="14378" max="14383" width="11.42578125" style="1" customWidth="1"/>
    <col min="14384" max="14386" width="12.5703125" style="1" customWidth="1"/>
    <col min="14387" max="14396" width="11.42578125" style="1" customWidth="1"/>
    <col min="14397" max="14397" width="12.5703125" style="1" customWidth="1"/>
    <col min="14398" max="14414" width="11.42578125" style="1" customWidth="1"/>
    <col min="14415" max="14415" width="12.5703125" style="1" customWidth="1"/>
    <col min="14416" max="14592" width="11.42578125" style="1"/>
    <col min="14593" max="14593" width="14.85546875" style="1" customWidth="1"/>
    <col min="14594" max="14594" width="11.28515625" style="1" customWidth="1"/>
    <col min="14595" max="14595" width="12.5703125" style="1" customWidth="1"/>
    <col min="14596" max="14596" width="6.85546875" style="1" customWidth="1"/>
    <col min="14597" max="14598" width="7" style="1" customWidth="1"/>
    <col min="14599" max="14604" width="6.140625" style="1" customWidth="1"/>
    <col min="14605" max="14606" width="7" style="1" customWidth="1"/>
    <col min="14607" max="14608" width="6.85546875" style="1" customWidth="1"/>
    <col min="14609" max="14611" width="6.140625" style="1" customWidth="1"/>
    <col min="14612" max="14612" width="11.7109375" style="1" customWidth="1"/>
    <col min="14613" max="14613" width="4.85546875" style="1" customWidth="1"/>
    <col min="14614" max="14615" width="6.140625" style="1" customWidth="1"/>
    <col min="14616" max="14616" width="6.85546875" style="1" customWidth="1"/>
    <col min="14617" max="14619" width="7.42578125" style="1" customWidth="1"/>
    <col min="14620" max="14623" width="6.140625" style="1" customWidth="1"/>
    <col min="14624" max="14625" width="7.42578125" style="1" customWidth="1"/>
    <col min="14626" max="14630" width="6.140625" style="1" customWidth="1"/>
    <col min="14631" max="14632" width="7.42578125" style="1" customWidth="1"/>
    <col min="14633" max="14633" width="12.5703125" style="1" customWidth="1"/>
    <col min="14634" max="14639" width="11.42578125" style="1" customWidth="1"/>
    <col min="14640" max="14642" width="12.5703125" style="1" customWidth="1"/>
    <col min="14643" max="14652" width="11.42578125" style="1" customWidth="1"/>
    <col min="14653" max="14653" width="12.5703125" style="1" customWidth="1"/>
    <col min="14654" max="14670" width="11.42578125" style="1" customWidth="1"/>
    <col min="14671" max="14671" width="12.5703125" style="1" customWidth="1"/>
    <col min="14672" max="14848" width="11.42578125" style="1"/>
    <col min="14849" max="14849" width="14.85546875" style="1" customWidth="1"/>
    <col min="14850" max="14850" width="11.28515625" style="1" customWidth="1"/>
    <col min="14851" max="14851" width="12.5703125" style="1" customWidth="1"/>
    <col min="14852" max="14852" width="6.85546875" style="1" customWidth="1"/>
    <col min="14853" max="14854" width="7" style="1" customWidth="1"/>
    <col min="14855" max="14860" width="6.140625" style="1" customWidth="1"/>
    <col min="14861" max="14862" width="7" style="1" customWidth="1"/>
    <col min="14863" max="14864" width="6.85546875" style="1" customWidth="1"/>
    <col min="14865" max="14867" width="6.140625" style="1" customWidth="1"/>
    <col min="14868" max="14868" width="11.7109375" style="1" customWidth="1"/>
    <col min="14869" max="14869" width="4.85546875" style="1" customWidth="1"/>
    <col min="14870" max="14871" width="6.140625" style="1" customWidth="1"/>
    <col min="14872" max="14872" width="6.85546875" style="1" customWidth="1"/>
    <col min="14873" max="14875" width="7.42578125" style="1" customWidth="1"/>
    <col min="14876" max="14879" width="6.140625" style="1" customWidth="1"/>
    <col min="14880" max="14881" width="7.42578125" style="1" customWidth="1"/>
    <col min="14882" max="14886" width="6.140625" style="1" customWidth="1"/>
    <col min="14887" max="14888" width="7.42578125" style="1" customWidth="1"/>
    <col min="14889" max="14889" width="12.5703125" style="1" customWidth="1"/>
    <col min="14890" max="14895" width="11.42578125" style="1" customWidth="1"/>
    <col min="14896" max="14898" width="12.5703125" style="1" customWidth="1"/>
    <col min="14899" max="14908" width="11.42578125" style="1" customWidth="1"/>
    <col min="14909" max="14909" width="12.5703125" style="1" customWidth="1"/>
    <col min="14910" max="14926" width="11.42578125" style="1" customWidth="1"/>
    <col min="14927" max="14927" width="12.5703125" style="1" customWidth="1"/>
    <col min="14928" max="15104" width="11.42578125" style="1"/>
    <col min="15105" max="15105" width="14.85546875" style="1" customWidth="1"/>
    <col min="15106" max="15106" width="11.28515625" style="1" customWidth="1"/>
    <col min="15107" max="15107" width="12.5703125" style="1" customWidth="1"/>
    <col min="15108" max="15108" width="6.85546875" style="1" customWidth="1"/>
    <col min="15109" max="15110" width="7" style="1" customWidth="1"/>
    <col min="15111" max="15116" width="6.140625" style="1" customWidth="1"/>
    <col min="15117" max="15118" width="7" style="1" customWidth="1"/>
    <col min="15119" max="15120" width="6.85546875" style="1" customWidth="1"/>
    <col min="15121" max="15123" width="6.140625" style="1" customWidth="1"/>
    <col min="15124" max="15124" width="11.7109375" style="1" customWidth="1"/>
    <col min="15125" max="15125" width="4.85546875" style="1" customWidth="1"/>
    <col min="15126" max="15127" width="6.140625" style="1" customWidth="1"/>
    <col min="15128" max="15128" width="6.85546875" style="1" customWidth="1"/>
    <col min="15129" max="15131" width="7.42578125" style="1" customWidth="1"/>
    <col min="15132" max="15135" width="6.140625" style="1" customWidth="1"/>
    <col min="15136" max="15137" width="7.42578125" style="1" customWidth="1"/>
    <col min="15138" max="15142" width="6.140625" style="1" customWidth="1"/>
    <col min="15143" max="15144" width="7.42578125" style="1" customWidth="1"/>
    <col min="15145" max="15145" width="12.5703125" style="1" customWidth="1"/>
    <col min="15146" max="15151" width="11.42578125" style="1" customWidth="1"/>
    <col min="15152" max="15154" width="12.5703125" style="1" customWidth="1"/>
    <col min="15155" max="15164" width="11.42578125" style="1" customWidth="1"/>
    <col min="15165" max="15165" width="12.5703125" style="1" customWidth="1"/>
    <col min="15166" max="15182" width="11.42578125" style="1" customWidth="1"/>
    <col min="15183" max="15183" width="12.5703125" style="1" customWidth="1"/>
    <col min="15184" max="15360" width="11.42578125" style="1"/>
    <col min="15361" max="15361" width="14.85546875" style="1" customWidth="1"/>
    <col min="15362" max="15362" width="11.28515625" style="1" customWidth="1"/>
    <col min="15363" max="15363" width="12.5703125" style="1" customWidth="1"/>
    <col min="15364" max="15364" width="6.85546875" style="1" customWidth="1"/>
    <col min="15365" max="15366" width="7" style="1" customWidth="1"/>
    <col min="15367" max="15372" width="6.140625" style="1" customWidth="1"/>
    <col min="15373" max="15374" width="7" style="1" customWidth="1"/>
    <col min="15375" max="15376" width="6.85546875" style="1" customWidth="1"/>
    <col min="15377" max="15379" width="6.140625" style="1" customWidth="1"/>
    <col min="15380" max="15380" width="11.7109375" style="1" customWidth="1"/>
    <col min="15381" max="15381" width="4.85546875" style="1" customWidth="1"/>
    <col min="15382" max="15383" width="6.140625" style="1" customWidth="1"/>
    <col min="15384" max="15384" width="6.85546875" style="1" customWidth="1"/>
    <col min="15385" max="15387" width="7.42578125" style="1" customWidth="1"/>
    <col min="15388" max="15391" width="6.140625" style="1" customWidth="1"/>
    <col min="15392" max="15393" width="7.42578125" style="1" customWidth="1"/>
    <col min="15394" max="15398" width="6.140625" style="1" customWidth="1"/>
    <col min="15399" max="15400" width="7.42578125" style="1" customWidth="1"/>
    <col min="15401" max="15401" width="12.5703125" style="1" customWidth="1"/>
    <col min="15402" max="15407" width="11.42578125" style="1" customWidth="1"/>
    <col min="15408" max="15410" width="12.5703125" style="1" customWidth="1"/>
    <col min="15411" max="15420" width="11.42578125" style="1" customWidth="1"/>
    <col min="15421" max="15421" width="12.5703125" style="1" customWidth="1"/>
    <col min="15422" max="15438" width="11.42578125" style="1" customWidth="1"/>
    <col min="15439" max="15439" width="12.5703125" style="1" customWidth="1"/>
    <col min="15440" max="15616" width="11.42578125" style="1"/>
    <col min="15617" max="15617" width="14.85546875" style="1" customWidth="1"/>
    <col min="15618" max="15618" width="11.28515625" style="1" customWidth="1"/>
    <col min="15619" max="15619" width="12.5703125" style="1" customWidth="1"/>
    <col min="15620" max="15620" width="6.85546875" style="1" customWidth="1"/>
    <col min="15621" max="15622" width="7" style="1" customWidth="1"/>
    <col min="15623" max="15628" width="6.140625" style="1" customWidth="1"/>
    <col min="15629" max="15630" width="7" style="1" customWidth="1"/>
    <col min="15631" max="15632" width="6.85546875" style="1" customWidth="1"/>
    <col min="15633" max="15635" width="6.140625" style="1" customWidth="1"/>
    <col min="15636" max="15636" width="11.7109375" style="1" customWidth="1"/>
    <col min="15637" max="15637" width="4.85546875" style="1" customWidth="1"/>
    <col min="15638" max="15639" width="6.140625" style="1" customWidth="1"/>
    <col min="15640" max="15640" width="6.85546875" style="1" customWidth="1"/>
    <col min="15641" max="15643" width="7.42578125" style="1" customWidth="1"/>
    <col min="15644" max="15647" width="6.140625" style="1" customWidth="1"/>
    <col min="15648" max="15649" width="7.42578125" style="1" customWidth="1"/>
    <col min="15650" max="15654" width="6.140625" style="1" customWidth="1"/>
    <col min="15655" max="15656" width="7.42578125" style="1" customWidth="1"/>
    <col min="15657" max="15657" width="12.5703125" style="1" customWidth="1"/>
    <col min="15658" max="15663" width="11.42578125" style="1" customWidth="1"/>
    <col min="15664" max="15666" width="12.5703125" style="1" customWidth="1"/>
    <col min="15667" max="15676" width="11.42578125" style="1" customWidth="1"/>
    <col min="15677" max="15677" width="12.5703125" style="1" customWidth="1"/>
    <col min="15678" max="15694" width="11.42578125" style="1" customWidth="1"/>
    <col min="15695" max="15695" width="12.5703125" style="1" customWidth="1"/>
    <col min="15696" max="15872" width="11.42578125" style="1"/>
    <col min="15873" max="15873" width="14.85546875" style="1" customWidth="1"/>
    <col min="15874" max="15874" width="11.28515625" style="1" customWidth="1"/>
    <col min="15875" max="15875" width="12.5703125" style="1" customWidth="1"/>
    <col min="15876" max="15876" width="6.85546875" style="1" customWidth="1"/>
    <col min="15877" max="15878" width="7" style="1" customWidth="1"/>
    <col min="15879" max="15884" width="6.140625" style="1" customWidth="1"/>
    <col min="15885" max="15886" width="7" style="1" customWidth="1"/>
    <col min="15887" max="15888" width="6.85546875" style="1" customWidth="1"/>
    <col min="15889" max="15891" width="6.140625" style="1" customWidth="1"/>
    <col min="15892" max="15892" width="11.7109375" style="1" customWidth="1"/>
    <col min="15893" max="15893" width="4.85546875" style="1" customWidth="1"/>
    <col min="15894" max="15895" width="6.140625" style="1" customWidth="1"/>
    <col min="15896" max="15896" width="6.85546875" style="1" customWidth="1"/>
    <col min="15897" max="15899" width="7.42578125" style="1" customWidth="1"/>
    <col min="15900" max="15903" width="6.140625" style="1" customWidth="1"/>
    <col min="15904" max="15905" width="7.42578125" style="1" customWidth="1"/>
    <col min="15906" max="15910" width="6.140625" style="1" customWidth="1"/>
    <col min="15911" max="15912" width="7.42578125" style="1" customWidth="1"/>
    <col min="15913" max="15913" width="12.5703125" style="1" customWidth="1"/>
    <col min="15914" max="15919" width="11.42578125" style="1" customWidth="1"/>
    <col min="15920" max="15922" width="12.5703125" style="1" customWidth="1"/>
    <col min="15923" max="15932" width="11.42578125" style="1" customWidth="1"/>
    <col min="15933" max="15933" width="12.5703125" style="1" customWidth="1"/>
    <col min="15934" max="15950" width="11.42578125" style="1" customWidth="1"/>
    <col min="15951" max="15951" width="12.5703125" style="1" customWidth="1"/>
    <col min="15952" max="16128" width="11.42578125" style="1"/>
    <col min="16129" max="16129" width="14.85546875" style="1" customWidth="1"/>
    <col min="16130" max="16130" width="11.28515625" style="1" customWidth="1"/>
    <col min="16131" max="16131" width="12.5703125" style="1" customWidth="1"/>
    <col min="16132" max="16132" width="6.85546875" style="1" customWidth="1"/>
    <col min="16133" max="16134" width="7" style="1" customWidth="1"/>
    <col min="16135" max="16140" width="6.140625" style="1" customWidth="1"/>
    <col min="16141" max="16142" width="7" style="1" customWidth="1"/>
    <col min="16143" max="16144" width="6.85546875" style="1" customWidth="1"/>
    <col min="16145" max="16147" width="6.140625" style="1" customWidth="1"/>
    <col min="16148" max="16148" width="11.7109375" style="1" customWidth="1"/>
    <col min="16149" max="16149" width="4.85546875" style="1" customWidth="1"/>
    <col min="16150" max="16151" width="6.140625" style="1" customWidth="1"/>
    <col min="16152" max="16152" width="6.85546875" style="1" customWidth="1"/>
    <col min="16153" max="16155" width="7.42578125" style="1" customWidth="1"/>
    <col min="16156" max="16159" width="6.140625" style="1" customWidth="1"/>
    <col min="16160" max="16161" width="7.42578125" style="1" customWidth="1"/>
    <col min="16162" max="16166" width="6.140625" style="1" customWidth="1"/>
    <col min="16167" max="16168" width="7.42578125" style="1" customWidth="1"/>
    <col min="16169" max="16169" width="12.5703125" style="1" customWidth="1"/>
    <col min="16170" max="16175" width="11.42578125" style="1" customWidth="1"/>
    <col min="16176" max="16178" width="12.5703125" style="1" customWidth="1"/>
    <col min="16179" max="16188" width="11.42578125" style="1" customWidth="1"/>
    <col min="16189" max="16189" width="12.5703125" style="1" customWidth="1"/>
    <col min="16190" max="16206" width="11.42578125" style="1" customWidth="1"/>
    <col min="16207" max="16207" width="12.5703125" style="1" customWidth="1"/>
    <col min="16208" max="16384" width="11.42578125" style="1"/>
  </cols>
  <sheetData>
    <row r="1" spans="1:183">
      <c r="C1" s="1"/>
      <c r="D1" s="1"/>
      <c r="AO1" s="1"/>
    </row>
    <row r="2" spans="1:183">
      <c r="C2" s="1"/>
      <c r="D2" s="1"/>
      <c r="AJ2" s="1">
        <f>(23.5*14.5+7*31.5)/21.5</f>
        <v>26.104651162790699</v>
      </c>
      <c r="AO2" s="4"/>
      <c r="AP2" s="5"/>
      <c r="AQ2" s="5"/>
      <c r="AR2" s="5"/>
      <c r="AS2" s="5"/>
      <c r="AT2" s="5"/>
      <c r="AU2" s="5"/>
      <c r="AV2" s="4"/>
      <c r="AW2" s="6"/>
      <c r="AX2" s="6"/>
      <c r="AY2" s="5"/>
      <c r="AZ2" s="5"/>
      <c r="BA2" s="5"/>
      <c r="BB2" s="5"/>
      <c r="BC2" s="5"/>
      <c r="BD2" s="5"/>
      <c r="BE2" s="5"/>
      <c r="BF2" s="5"/>
      <c r="BG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4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</row>
    <row r="3" spans="1:183">
      <c r="C3" s="1"/>
      <c r="D3" s="1"/>
      <c r="AO3" s="4"/>
      <c r="AP3" s="5"/>
      <c r="AQ3" s="5"/>
      <c r="AR3" s="5"/>
      <c r="AS3" s="5"/>
      <c r="AT3" s="5"/>
      <c r="AU3" s="5"/>
      <c r="AV3" s="4"/>
      <c r="AW3" s="6"/>
      <c r="AX3" s="6"/>
      <c r="AY3" s="5"/>
      <c r="AZ3" s="5"/>
      <c r="BA3" s="5"/>
      <c r="BB3" s="5"/>
      <c r="BC3" s="5"/>
      <c r="BD3" s="5"/>
      <c r="BE3" s="5"/>
      <c r="BF3" s="5"/>
      <c r="BG3" s="5"/>
      <c r="BI3" s="4"/>
      <c r="BJ3" s="5"/>
      <c r="BK3" s="5"/>
      <c r="BL3" s="5"/>
      <c r="BM3" s="5"/>
      <c r="BN3" s="5"/>
      <c r="BO3" s="5"/>
      <c r="BP3" s="5"/>
      <c r="BQ3" s="5"/>
      <c r="BR3" s="7"/>
      <c r="BS3" s="5"/>
      <c r="BT3" s="5"/>
      <c r="BU3" s="5"/>
      <c r="BV3" s="5"/>
      <c r="BW3" s="5"/>
      <c r="BX3" s="5"/>
      <c r="BY3" s="5"/>
      <c r="BZ3" s="5"/>
      <c r="CA3" s="4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</row>
    <row r="4" spans="1:183">
      <c r="C4" s="6"/>
      <c r="D4" s="8"/>
      <c r="E4" s="5"/>
      <c r="F4" s="9"/>
      <c r="G4" s="9"/>
      <c r="H4" s="10"/>
      <c r="I4" s="5"/>
      <c r="J4" s="5"/>
      <c r="K4" s="5"/>
      <c r="L4" s="9"/>
      <c r="M4" s="9"/>
      <c r="N4" s="9"/>
      <c r="O4" s="5"/>
      <c r="Z4" s="5"/>
      <c r="AA4" s="5"/>
      <c r="AB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4"/>
      <c r="AP4" s="5"/>
      <c r="AQ4" s="5"/>
      <c r="AR4" s="5"/>
      <c r="AS4" s="5"/>
      <c r="AT4" s="5"/>
      <c r="AU4" s="5"/>
      <c r="AV4" s="4"/>
      <c r="AW4" s="6"/>
      <c r="AX4" s="6"/>
      <c r="AY4" s="5"/>
      <c r="AZ4" s="5"/>
      <c r="BA4" s="5"/>
      <c r="BB4" s="5"/>
      <c r="BC4" s="5"/>
      <c r="BD4" s="5"/>
      <c r="BE4" s="5"/>
      <c r="BF4" s="5"/>
      <c r="BG4" s="5"/>
      <c r="BI4" s="4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4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</row>
    <row r="5" spans="1:183" ht="25.5">
      <c r="B5" s="11" t="s">
        <v>19</v>
      </c>
      <c r="C5" s="12"/>
      <c r="D5" s="13" t="s">
        <v>20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878" t="s">
        <v>21</v>
      </c>
      <c r="U5" s="13"/>
      <c r="V5" s="14"/>
      <c r="W5" s="14"/>
      <c r="X5" s="14"/>
      <c r="Y5" s="13" t="s">
        <v>22</v>
      </c>
      <c r="Z5" s="13"/>
      <c r="AA5" s="14"/>
      <c r="AB5" s="13" t="s">
        <v>23</v>
      </c>
      <c r="AC5" s="13" t="s">
        <v>24</v>
      </c>
      <c r="AD5" s="14"/>
      <c r="AE5" s="14"/>
      <c r="AF5" s="14"/>
      <c r="AG5" s="13" t="s">
        <v>25</v>
      </c>
      <c r="AH5" s="15" t="s">
        <v>26</v>
      </c>
      <c r="AI5" s="16"/>
      <c r="AJ5" s="16"/>
      <c r="AK5" s="13"/>
      <c r="AL5" s="14"/>
      <c r="AM5" s="15" t="s">
        <v>27</v>
      </c>
      <c r="AN5" s="17" t="s">
        <v>28</v>
      </c>
      <c r="AO5" s="2" t="s">
        <v>29</v>
      </c>
      <c r="AP5" s="5"/>
      <c r="AQ5" s="5"/>
      <c r="AR5" s="5"/>
      <c r="AS5" s="5"/>
      <c r="AT5" s="5"/>
      <c r="AU5" s="5"/>
      <c r="AV5" s="18" t="s">
        <v>30</v>
      </c>
      <c r="AW5" s="6"/>
      <c r="AX5" s="6"/>
      <c r="AY5" s="5"/>
      <c r="AZ5" s="5"/>
      <c r="BA5" s="5"/>
      <c r="BB5" s="5"/>
      <c r="BC5" s="5"/>
      <c r="BD5" s="5"/>
      <c r="BE5" s="5"/>
      <c r="BF5" s="5"/>
      <c r="BG5" s="5"/>
      <c r="BI5" s="18" t="s">
        <v>31</v>
      </c>
      <c r="BJ5" s="5"/>
      <c r="BK5" s="5"/>
      <c r="BL5" s="5"/>
      <c r="BM5" s="5"/>
      <c r="BN5" s="5"/>
      <c r="BO5" s="5"/>
      <c r="BP5" s="5"/>
      <c r="BQ5" s="5"/>
      <c r="BS5" s="5"/>
      <c r="BT5" s="5"/>
      <c r="BU5" s="5"/>
      <c r="BV5" s="5"/>
      <c r="BW5" s="5"/>
      <c r="BX5" s="5"/>
      <c r="BY5" s="5"/>
      <c r="BZ5" s="5"/>
      <c r="CA5" s="18" t="s">
        <v>32</v>
      </c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</row>
    <row r="6" spans="1:183" ht="18">
      <c r="B6" s="19" t="s">
        <v>33</v>
      </c>
      <c r="C6" s="20"/>
      <c r="D6" s="21" t="s">
        <v>34</v>
      </c>
      <c r="E6" s="14"/>
      <c r="F6" s="14"/>
      <c r="G6" s="14"/>
      <c r="H6" s="14"/>
      <c r="I6" s="14"/>
      <c r="J6" s="14"/>
      <c r="K6" s="14"/>
      <c r="L6" s="22" t="s">
        <v>2</v>
      </c>
      <c r="M6" s="14"/>
      <c r="N6" s="14"/>
      <c r="O6" s="14"/>
      <c r="P6" s="14"/>
      <c r="Q6" s="14"/>
      <c r="R6" s="14"/>
      <c r="S6" s="14"/>
      <c r="T6" s="879"/>
      <c r="U6" s="23" t="s">
        <v>35</v>
      </c>
      <c r="V6" s="24"/>
      <c r="W6" s="24"/>
      <c r="X6" s="25"/>
      <c r="Y6" s="23" t="s">
        <v>36</v>
      </c>
      <c r="Z6" s="23" t="s">
        <v>37</v>
      </c>
      <c r="AA6" s="24"/>
      <c r="AB6" s="26" t="s">
        <v>38</v>
      </c>
      <c r="AC6" s="26" t="s">
        <v>39</v>
      </c>
      <c r="AD6" s="6"/>
      <c r="AE6" s="27"/>
      <c r="AF6" s="27"/>
      <c r="AG6" s="23" t="s">
        <v>40</v>
      </c>
      <c r="AH6" s="28" t="s">
        <v>41</v>
      </c>
      <c r="AI6" s="6" t="s">
        <v>1</v>
      </c>
      <c r="AJ6" s="6"/>
      <c r="AK6" s="23" t="s">
        <v>42</v>
      </c>
      <c r="AL6" s="24"/>
      <c r="AM6" s="28" t="s">
        <v>43</v>
      </c>
      <c r="AN6" s="29" t="s">
        <v>44</v>
      </c>
      <c r="AO6" s="4" t="str">
        <f>$L7</f>
        <v>Hverdag</v>
      </c>
      <c r="AP6" s="5" t="str">
        <f>$L7</f>
        <v>Hverdag</v>
      </c>
      <c r="AQ6" s="5" t="str">
        <f>$L7</f>
        <v>Hverdag</v>
      </c>
      <c r="AR6" s="5" t="str">
        <f>$P7</f>
        <v>Helg/helligdag</v>
      </c>
      <c r="AS6" s="5" t="str">
        <f>$P7</f>
        <v>Helg/helligdag</v>
      </c>
      <c r="AT6" s="5" t="str">
        <f>$P7</f>
        <v>Helg/helligdag</v>
      </c>
      <c r="AU6" s="5" t="str">
        <f>$P7</f>
        <v>Helg/helligdag</v>
      </c>
      <c r="AV6" s="4"/>
      <c r="AW6" s="6"/>
      <c r="AX6" s="6"/>
      <c r="AY6" s="5"/>
      <c r="AZ6" s="5"/>
      <c r="BA6" s="5"/>
      <c r="BB6" s="5"/>
      <c r="BC6" s="5"/>
      <c r="BD6" s="5"/>
      <c r="BE6" s="5"/>
      <c r="BG6" s="5"/>
      <c r="BI6" s="4"/>
      <c r="BJ6" s="5"/>
      <c r="BK6" s="5"/>
      <c r="BL6" s="5"/>
      <c r="BM6" s="5"/>
      <c r="BN6" s="5"/>
      <c r="BO6" s="5"/>
      <c r="BP6" s="5"/>
      <c r="BQ6" s="5"/>
      <c r="BS6" s="5"/>
      <c r="BT6" s="5"/>
      <c r="BU6" s="5"/>
      <c r="BV6" s="5"/>
      <c r="BW6" s="5"/>
      <c r="BX6" s="5"/>
      <c r="BY6" s="5"/>
      <c r="BZ6" s="5"/>
      <c r="CA6" s="4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</row>
    <row r="7" spans="1:183">
      <c r="A7" s="30"/>
      <c r="B7" s="31"/>
      <c r="C7" s="13"/>
      <c r="D7" s="32" t="s">
        <v>3</v>
      </c>
      <c r="E7" s="33"/>
      <c r="F7" s="33"/>
      <c r="G7" s="33"/>
      <c r="H7" s="34" t="s">
        <v>4</v>
      </c>
      <c r="I7" s="33"/>
      <c r="J7" s="33"/>
      <c r="K7" s="33"/>
      <c r="L7" s="34" t="s">
        <v>3</v>
      </c>
      <c r="M7" s="33"/>
      <c r="N7" s="33"/>
      <c r="O7" s="33"/>
      <c r="P7" s="34" t="s">
        <v>4</v>
      </c>
      <c r="Q7" s="33"/>
      <c r="R7" s="33"/>
      <c r="S7" s="33"/>
      <c r="T7" s="879"/>
      <c r="U7" s="21" t="s">
        <v>5</v>
      </c>
      <c r="V7" s="35"/>
      <c r="W7" s="35"/>
      <c r="X7" s="36"/>
      <c r="Y7" s="31" t="s">
        <v>45</v>
      </c>
      <c r="Z7" s="21" t="s">
        <v>46</v>
      </c>
      <c r="AA7" s="21" t="s">
        <v>47</v>
      </c>
      <c r="AB7" s="21" t="s">
        <v>48</v>
      </c>
      <c r="AC7" s="21" t="s">
        <v>5</v>
      </c>
      <c r="AD7" s="35"/>
      <c r="AE7" s="37"/>
      <c r="AF7" s="37"/>
      <c r="AG7" s="21" t="s">
        <v>49</v>
      </c>
      <c r="AH7" s="38" t="s">
        <v>0</v>
      </c>
      <c r="AI7" s="16" t="s">
        <v>50</v>
      </c>
      <c r="AJ7" s="16" t="s">
        <v>8</v>
      </c>
      <c r="AK7" s="21" t="s">
        <v>51</v>
      </c>
      <c r="AL7" s="35" t="s">
        <v>52</v>
      </c>
      <c r="AM7" s="38" t="s">
        <v>53</v>
      </c>
      <c r="AN7" s="39" t="s">
        <v>54</v>
      </c>
      <c r="AO7" s="40" t="str">
        <f>M8</f>
        <v>Kveld 1</v>
      </c>
      <c r="AP7" s="16" t="str">
        <f>N8</f>
        <v>Kveld 2</v>
      </c>
      <c r="AQ7" s="16" t="str">
        <f>O8</f>
        <v>Natt</v>
      </c>
      <c r="AR7" s="16" t="str">
        <f>Q8</f>
        <v>Kveld 1</v>
      </c>
      <c r="AS7" s="16" t="str">
        <f>R8</f>
        <v>Kveld 2</v>
      </c>
      <c r="AT7" s="16" t="str">
        <f>S8</f>
        <v>Natt</v>
      </c>
      <c r="AU7" s="16" t="str">
        <f>S8</f>
        <v>Natt</v>
      </c>
      <c r="AV7" s="41" t="s">
        <v>9</v>
      </c>
      <c r="AW7" s="42" t="s">
        <v>9</v>
      </c>
      <c r="AX7" s="42" t="s">
        <v>9</v>
      </c>
      <c r="AY7" s="43" t="s">
        <v>55</v>
      </c>
      <c r="AZ7" s="43" t="s">
        <v>55</v>
      </c>
      <c r="BA7" s="43" t="s">
        <v>56</v>
      </c>
      <c r="BB7" s="43" t="s">
        <v>57</v>
      </c>
      <c r="BC7" s="5"/>
      <c r="BD7" s="5" t="s">
        <v>58</v>
      </c>
      <c r="BE7" s="44">
        <f>+SUM(AC7:AF7)+SUM(AK7:AL7)/52*AM7*IF(Y7=1,0.5,IF(Y7=2,1.5,IF(Y7=4,3,IF(Y7=5,5,0))))</f>
        <v>0</v>
      </c>
      <c r="BG7" s="5"/>
      <c r="BI7" s="4"/>
      <c r="BJ7" s="5"/>
      <c r="BK7" s="5"/>
      <c r="BL7" s="43" t="str">
        <f>+Z6</f>
        <v>T-trinn</v>
      </c>
      <c r="BM7" s="5"/>
      <c r="BN7" s="5"/>
      <c r="BO7" s="5"/>
      <c r="BP7" s="5"/>
      <c r="BQ7" s="5"/>
      <c r="BR7" s="43" t="s">
        <v>59</v>
      </c>
      <c r="BS7" s="5"/>
      <c r="BT7" s="5"/>
      <c r="BU7" s="5"/>
      <c r="BV7" s="5"/>
      <c r="BW7" s="5"/>
      <c r="BX7" s="5"/>
      <c r="BY7" s="5"/>
      <c r="BZ7" s="5"/>
      <c r="CA7" s="4"/>
      <c r="CB7" s="5"/>
      <c r="CC7" s="5"/>
      <c r="CD7" s="5"/>
      <c r="CE7" s="5" t="e">
        <f>#REF!</f>
        <v>#REF!</v>
      </c>
      <c r="CF7" s="5"/>
      <c r="CG7" s="5" t="e">
        <f>#REF!</f>
        <v>#REF!</v>
      </c>
      <c r="CH7" s="5"/>
      <c r="CI7" s="5"/>
      <c r="CJ7" s="5"/>
      <c r="CK7" s="5"/>
      <c r="CL7" s="5" t="e">
        <f>#REF!</f>
        <v>#REF!</v>
      </c>
      <c r="CM7" s="5" t="e">
        <f>#REF!</f>
        <v>#REF!</v>
      </c>
      <c r="CN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</row>
    <row r="8" spans="1:183">
      <c r="A8" s="45" t="s">
        <v>60</v>
      </c>
      <c r="B8" s="46" t="s">
        <v>61</v>
      </c>
      <c r="C8" s="47" t="s">
        <v>62</v>
      </c>
      <c r="D8" s="47" t="s">
        <v>10</v>
      </c>
      <c r="E8" s="48" t="s">
        <v>63</v>
      </c>
      <c r="F8" s="48" t="s">
        <v>12</v>
      </c>
      <c r="G8" s="48" t="s">
        <v>13</v>
      </c>
      <c r="H8" s="49" t="s">
        <v>10</v>
      </c>
      <c r="I8" s="48" t="s">
        <v>63</v>
      </c>
      <c r="J8" s="48" t="s">
        <v>12</v>
      </c>
      <c r="K8" s="48" t="s">
        <v>13</v>
      </c>
      <c r="L8" s="49" t="s">
        <v>10</v>
      </c>
      <c r="M8" s="50" t="str">
        <f>I8</f>
        <v>Kveld 1</v>
      </c>
      <c r="N8" s="50" t="str">
        <f>J8</f>
        <v>Kveld 2</v>
      </c>
      <c r="O8" s="48" t="s">
        <v>13</v>
      </c>
      <c r="P8" s="49" t="s">
        <v>10</v>
      </c>
      <c r="Q8" s="50" t="str">
        <f>I8</f>
        <v>Kveld 1</v>
      </c>
      <c r="R8" s="50" t="str">
        <f>J8</f>
        <v>Kveld 2</v>
      </c>
      <c r="S8" s="48" t="s">
        <v>13</v>
      </c>
      <c r="T8" s="880"/>
      <c r="U8" s="51" t="s">
        <v>64</v>
      </c>
      <c r="V8" s="52">
        <f>+AC8</f>
        <v>0.5</v>
      </c>
      <c r="W8" s="52" t="str">
        <f>+AE8</f>
        <v>100 %</v>
      </c>
      <c r="X8" s="52">
        <f>+AF8</f>
        <v>2</v>
      </c>
      <c r="Y8" s="47" t="s">
        <v>65</v>
      </c>
      <c r="Z8" s="47" t="s">
        <v>66</v>
      </c>
      <c r="AA8" s="47" t="s">
        <v>67</v>
      </c>
      <c r="AB8" s="47"/>
      <c r="AC8" s="53">
        <v>0.5</v>
      </c>
      <c r="AD8" s="52">
        <v>0.75</v>
      </c>
      <c r="AE8" s="54" t="s">
        <v>14</v>
      </c>
      <c r="AF8" s="52">
        <v>2</v>
      </c>
      <c r="AG8" s="47" t="s">
        <v>6</v>
      </c>
      <c r="AH8" s="55"/>
      <c r="AI8" s="56"/>
      <c r="AJ8" s="57" t="s">
        <v>15</v>
      </c>
      <c r="AK8" s="47"/>
      <c r="AL8" s="48" t="s">
        <v>68</v>
      </c>
      <c r="AM8" s="58" t="s">
        <v>67</v>
      </c>
      <c r="AN8" s="59" t="s">
        <v>69</v>
      </c>
      <c r="AO8" s="60" t="s">
        <v>70</v>
      </c>
      <c r="AP8" s="57" t="s">
        <v>70</v>
      </c>
      <c r="AQ8" s="57" t="s">
        <v>71</v>
      </c>
      <c r="AR8" s="57" t="s">
        <v>70</v>
      </c>
      <c r="AS8" s="57" t="s">
        <v>70</v>
      </c>
      <c r="AT8" s="57" t="s">
        <v>71</v>
      </c>
      <c r="AU8" s="61" t="s">
        <v>72</v>
      </c>
      <c r="AV8" s="62"/>
      <c r="AW8" s="63" t="s">
        <v>73</v>
      </c>
      <c r="AX8" s="63" t="s">
        <v>74</v>
      </c>
      <c r="AY8" s="57" t="s">
        <v>75</v>
      </c>
      <c r="AZ8" s="57" t="s">
        <v>76</v>
      </c>
      <c r="BA8" s="57" t="s">
        <v>77</v>
      </c>
      <c r="BB8" s="57" t="s">
        <v>78</v>
      </c>
      <c r="BC8" s="57" t="s">
        <v>17</v>
      </c>
      <c r="BD8" s="63" t="s">
        <v>79</v>
      </c>
      <c r="BE8" s="63" t="s">
        <v>80</v>
      </c>
      <c r="BF8" s="63" t="s">
        <v>81</v>
      </c>
      <c r="BG8" s="63" t="s">
        <v>46</v>
      </c>
      <c r="BH8" s="63" t="s">
        <v>82</v>
      </c>
      <c r="BI8" s="60" t="s">
        <v>83</v>
      </c>
      <c r="BJ8" s="63"/>
      <c r="BK8" s="57" t="s">
        <v>84</v>
      </c>
      <c r="BL8" s="57" t="str">
        <f>+Z7</f>
        <v>Totalt</v>
      </c>
      <c r="BM8" s="57" t="str">
        <f>+AA7</f>
        <v>Rekrutt</v>
      </c>
      <c r="BN8" s="57" t="s">
        <v>85</v>
      </c>
      <c r="BO8" s="57" t="s">
        <v>86</v>
      </c>
      <c r="BP8" s="57" t="s">
        <v>87</v>
      </c>
      <c r="BQ8" s="57" t="s">
        <v>88</v>
      </c>
      <c r="BR8" s="64" t="s">
        <v>89</v>
      </c>
      <c r="BS8" s="57" t="s">
        <v>90</v>
      </c>
      <c r="BT8" s="57" t="s">
        <v>91</v>
      </c>
      <c r="BU8" s="57" t="s">
        <v>92</v>
      </c>
      <c r="BV8" s="57" t="s">
        <v>93</v>
      </c>
      <c r="BW8" s="57" t="s">
        <v>46</v>
      </c>
      <c r="BX8" s="57" t="s">
        <v>94</v>
      </c>
      <c r="BY8" s="57" t="s">
        <v>95</v>
      </c>
      <c r="BZ8" s="57" t="s">
        <v>96</v>
      </c>
      <c r="CA8" s="60" t="s">
        <v>97</v>
      </c>
      <c r="CB8" s="63" t="e">
        <f>#REF!</f>
        <v>#REF!</v>
      </c>
      <c r="CC8" s="63" t="e">
        <f>#REF!</f>
        <v>#REF!</v>
      </c>
      <c r="CD8" s="63" t="e">
        <f>#REF!</f>
        <v>#REF!</v>
      </c>
      <c r="CE8" s="63" t="e">
        <f>#REF!</f>
        <v>#REF!</v>
      </c>
      <c r="CF8" s="63" t="e">
        <f>#REF!</f>
        <v>#REF!</v>
      </c>
      <c r="CG8" s="63" t="e">
        <f>#REF!</f>
        <v>#REF!</v>
      </c>
      <c r="CH8" s="65">
        <v>0.75</v>
      </c>
      <c r="CI8" s="63" t="e">
        <f>#REF!</f>
        <v>#REF!</v>
      </c>
      <c r="CJ8" s="63" t="e">
        <f>#REF!</f>
        <v>#REF!</v>
      </c>
      <c r="CK8" s="66" t="e">
        <f>#REF!</f>
        <v>#REF!</v>
      </c>
      <c r="CL8" s="63"/>
      <c r="CM8" s="63" t="e">
        <f>#REF!</f>
        <v>#REF!</v>
      </c>
      <c r="CN8" s="63" t="e">
        <f>#REF!</f>
        <v>#REF!</v>
      </c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</row>
    <row r="9" spans="1:183" s="3" customFormat="1">
      <c r="A9" s="3" t="s">
        <v>98</v>
      </c>
      <c r="B9" s="67" t="s">
        <v>99</v>
      </c>
      <c r="C9" s="26" t="s">
        <v>100</v>
      </c>
      <c r="D9" s="68">
        <v>3.83</v>
      </c>
      <c r="E9" s="68">
        <v>1</v>
      </c>
      <c r="F9" s="68"/>
      <c r="G9" s="68">
        <v>1</v>
      </c>
      <c r="H9" s="69">
        <v>1</v>
      </c>
      <c r="I9" s="68">
        <v>1</v>
      </c>
      <c r="J9" s="68"/>
      <c r="K9" s="68">
        <v>1</v>
      </c>
      <c r="L9" s="70">
        <v>8.7200000000000006</v>
      </c>
      <c r="M9" s="71">
        <v>3.35</v>
      </c>
      <c r="N9" s="71"/>
      <c r="O9" s="72">
        <v>2.38</v>
      </c>
      <c r="P9" s="73">
        <v>4.5</v>
      </c>
      <c r="Q9" s="73">
        <v>2.25</v>
      </c>
      <c r="R9" s="73"/>
      <c r="S9" s="73">
        <v>2.63</v>
      </c>
      <c r="T9" s="74">
        <f>+BH9+AJ9</f>
        <v>53.599500000000006</v>
      </c>
      <c r="U9" s="75">
        <f>+IF(BH9&lt;$D$75,BH9*AI9,$D$75*$AI9)</f>
        <v>0</v>
      </c>
      <c r="V9" s="75">
        <f>+IF(U9&lt;$D$75*$AI9,0,IF(BH9&lt;$D$76,BH9*AI9-U9,($D$76-$D$75)*AI9))</f>
        <v>0</v>
      </c>
      <c r="W9" s="75">
        <f>+IF(V9&lt;($D$76-$D$75)*$AI9,0,IF(BH9&gt;$D$77,($D$77-$D$76)*$AI9,BH9*$AI9-U9-V9))</f>
        <v>0</v>
      </c>
      <c r="X9" s="75">
        <f>+IF($W9&lt;($D$77-$D$76)*$AI9,0,BH9*AI9-W9-U9-V9)</f>
        <v>72.398000000000039</v>
      </c>
      <c r="Y9" s="76"/>
      <c r="Z9" s="77">
        <f>+IF(U9&gt;0,120*AI9,0)</f>
        <v>0</v>
      </c>
      <c r="AA9" s="78"/>
      <c r="AB9" s="75"/>
      <c r="AC9" s="79"/>
      <c r="AD9" s="80"/>
      <c r="AE9" s="81"/>
      <c r="AF9" s="82">
        <f>(AW9*AK9*AM9+AZ9/2*AL9*AM9)/52</f>
        <v>0</v>
      </c>
      <c r="AG9" s="83"/>
      <c r="AH9" s="84">
        <v>55</v>
      </c>
      <c r="AI9" s="73">
        <v>4</v>
      </c>
      <c r="AJ9" s="73">
        <v>35.5</v>
      </c>
      <c r="AK9" s="85"/>
      <c r="AL9" s="86"/>
      <c r="AM9" s="87"/>
      <c r="AN9" s="88" t="e">
        <f>BW9</f>
        <v>#REF!</v>
      </c>
      <c r="AO9" s="89"/>
      <c r="AP9" s="89"/>
      <c r="AQ9" s="89"/>
      <c r="AR9" s="89"/>
      <c r="AS9" s="89"/>
      <c r="AT9" s="89"/>
      <c r="AU9" s="89"/>
      <c r="AV9" s="90">
        <f>((D9*L9)+(E9*M9)+(F9*N9)+(G9*O9))*5+((H9*P9)+(I9*Q9)+(J9*R9)+(K9*S9))*2</f>
        <v>214.39800000000002</v>
      </c>
      <c r="AW9" s="8">
        <f t="array" ref="AW9">+SUM(E9:G9*M9:O9)</f>
        <v>5.73</v>
      </c>
      <c r="AX9" s="8">
        <f t="array" ref="AX9">+SUM(H9:K9*P9:S9)*2</f>
        <v>18.759999999999998</v>
      </c>
      <c r="AY9" s="8">
        <f>((E9*AO9)+(F9*AP9)+(G9*AQ9))*5+((I9*AR9)+(J9*AS9)+(K9*AT9))*2</f>
        <v>0</v>
      </c>
      <c r="AZ9" s="8">
        <f>((J9*R9)+(K9*AU9)+(I9*Q9)+(H9*P9))*2</f>
        <v>13.5</v>
      </c>
      <c r="BA9" s="8" t="e">
        <f>((J9*R9)+(K9*S9)+(I9*Q9)+(H9*P9))*#REF!</f>
        <v>#REF!</v>
      </c>
      <c r="BB9" s="83">
        <v>0</v>
      </c>
      <c r="BC9" s="91">
        <f>AV9/AJ9</f>
        <v>6.0393802816901418</v>
      </c>
      <c r="BD9" s="77">
        <f>+SUM(AK9:AL9)/52*IF(Y9=1,0.5,IF(Y9=2,1.5,IF(Y9=4,3,IF(Y9=5,5,0))))+AV9</f>
        <v>214.39800000000002</v>
      </c>
      <c r="BE9" s="77">
        <f>+SUM(AK9:AL9)/52*AM9*IF(Y9=1,0.5,IF(Y9=2,1.5,IF(Y9=4,3,IF(Y9=5,5,0))))+AG9*AV9</f>
        <v>0</v>
      </c>
      <c r="BF9" s="77">
        <f>+(AW9*AK9*AM9+AX9/2*AL9*AM9)/52+AB9</f>
        <v>0</v>
      </c>
      <c r="BG9" s="77">
        <f>SUM(BD9:BF9)</f>
        <v>214.39800000000002</v>
      </c>
      <c r="BH9" s="92">
        <f>+(BC9-AI9)/AI9*AJ9</f>
        <v>18.09950000000001</v>
      </c>
      <c r="BI9" s="26"/>
      <c r="BJ9" s="6" t="str">
        <f>C9</f>
        <v xml:space="preserve"> overlege</v>
      </c>
      <c r="BK9" s="8" t="e">
        <f>TRUNC(CB9*AI9/1000)</f>
        <v>#REF!</v>
      </c>
      <c r="BL9" s="8" t="e">
        <f>TRUNC(#REF!*Z9/1000)</f>
        <v>#REF!</v>
      </c>
      <c r="BM9" s="8" t="e">
        <f>TRUNC(#REF!*AA9/1000)</f>
        <v>#REF!</v>
      </c>
      <c r="BN9" s="8" t="e">
        <f>TRUNC(#REF!*AZ9*#REF!)/1000</f>
        <v>#REF!</v>
      </c>
      <c r="BO9" s="8" t="e">
        <f>IF(AJ9=35.5,TRUNC(BA9*CN9*(1-BB9)/1000),TRUNC(BA9*CN9*(1-BB9)/1000))</f>
        <v>#REF!</v>
      </c>
      <c r="BP9" s="8" t="e">
        <f>TRUNC(AY9*#REF!*CL9)/1000</f>
        <v>#REF!</v>
      </c>
      <c r="BQ9" s="8" t="e">
        <f>TRUNC((SUM(BK9:BP9)+SUM(BS9:BT9))*AG9)</f>
        <v>#REF!</v>
      </c>
      <c r="BR9" s="8" t="e">
        <f>TRUNC(IF(Y9=#REF!,(#REF!*AK9+#REF!*(AL9+#REF!))/1000,IF(Y9=#REF!,(#REF!*AK9+#REF!*(AL9+#REF!))/1000,IF(Y9=#REF!,(#REF!*AK9+#REF!*(AL9+#REF!))/1000,IF(Y9=#REF!,(#REF!*AK9+#REF!*(AL9+#REF!))/1000,0)))))*(1+AM9)</f>
        <v>#REF!</v>
      </c>
      <c r="BS9" s="8" t="e">
        <f>TRUNC(#REF!*((V9*CG9)+(U9*CF9)+(W9*CI9)+(X9*CK9)))/1000</f>
        <v>#REF!</v>
      </c>
      <c r="BT9" s="8" t="e">
        <f>TRUNC(#REF!*((AC9*CG9)+(AD9*CH9)+(AE9*CI9)+(AF9*CK9))+BR9*AM9*1000)/1000</f>
        <v>#REF!</v>
      </c>
      <c r="BU9" s="8" t="e">
        <f>+BK9*#REF!</f>
        <v>#REF!</v>
      </c>
      <c r="BV9" s="8" t="e">
        <f>SUM(BK9:BU9)*#REF!</f>
        <v>#REF!</v>
      </c>
      <c r="BW9" s="8" t="e">
        <f>TRUNC(SUM(BK9:BV9))</f>
        <v>#REF!</v>
      </c>
      <c r="BX9" s="8" t="e">
        <f>+BK9+BL9+BM9+BN9+BP9+BR9+BS9+BO9</f>
        <v>#REF!</v>
      </c>
      <c r="BY9" s="8" t="e">
        <f>+BW9-BX9-BZ9</f>
        <v>#REF!</v>
      </c>
      <c r="BZ9" s="8" t="e">
        <f>+BU9+BV9</f>
        <v>#REF!</v>
      </c>
      <c r="CA9" s="6">
        <f>AH9</f>
        <v>55</v>
      </c>
      <c r="CB9" s="77" t="e">
        <f>IF($CA9&gt;0,VLOOKUP($CA9,#REF!,2)*#REF!,0)</f>
        <v>#REF!</v>
      </c>
      <c r="CC9" s="77" t="e">
        <f>IF($CA9&gt;0,VLOOKUP($CA9,#REF!,3)*#REF!,0)</f>
        <v>#REF!</v>
      </c>
      <c r="CD9" s="77" t="e">
        <f>IF($CA9&gt;0,VLOOKUP($CA9,#REF!,4)*#REF!,0)</f>
        <v>#REF!</v>
      </c>
      <c r="CE9" s="77" t="e">
        <f>IF($CA9&gt;0,VLOOKUP($CA9,#REF!,5)*#REF!,0)</f>
        <v>#REF!</v>
      </c>
      <c r="CF9" s="77" t="e">
        <f>IF($CA9&gt;0,VLOOKUP($CA9,#REF!,6)*#REF!,0)</f>
        <v>#REF!</v>
      </c>
      <c r="CG9" s="77" t="e">
        <f>IF($CA9&gt;0,VLOOKUP($CA9,#REF!,7)*#REF!,0)</f>
        <v>#REF!</v>
      </c>
      <c r="CH9" s="77" t="e">
        <f>+(CG9+CI9)/2</f>
        <v>#REF!</v>
      </c>
      <c r="CI9" s="77" t="e">
        <f>IF($CA9&gt;0,VLOOKUP($CA9,#REF!,8)*#REF!,0)</f>
        <v>#REF!</v>
      </c>
      <c r="CJ9" s="77" t="e">
        <f>IF($CA9&gt;0,VLOOKUP($CA9,#REF!,9)*#REF!,0)</f>
        <v>#REF!</v>
      </c>
      <c r="CK9" s="77" t="e">
        <f>IF($CA9&gt;0,VLOOKUP($CA9,#REF!,10)*#REF!,0)</f>
        <v>#REF!</v>
      </c>
      <c r="CL9" s="77" t="e">
        <f>IF($CA9&gt;0,VLOOKUP($CA9,#REF!,11)*#REF!,0)</f>
        <v>#REF!</v>
      </c>
      <c r="CM9" s="77" t="e">
        <f>IF($CA9&gt;0,VLOOKUP($CA9,#REF!,12)*#REF!,0)</f>
        <v>#REF!</v>
      </c>
      <c r="CN9" s="77" t="e">
        <f>IF($CA9&gt;0,VLOOKUP($CA9,#REF!,13)*#REF!,0)</f>
        <v>#REF!</v>
      </c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</row>
    <row r="10" spans="1:183" s="3" customFormat="1">
      <c r="B10" s="67" t="s">
        <v>101</v>
      </c>
      <c r="C10" s="26" t="s">
        <v>102</v>
      </c>
      <c r="D10" s="69">
        <v>4</v>
      </c>
      <c r="E10" s="68">
        <v>1</v>
      </c>
      <c r="F10" s="68"/>
      <c r="G10" s="68">
        <v>1</v>
      </c>
      <c r="H10" s="69">
        <v>1</v>
      </c>
      <c r="I10" s="68">
        <v>1</v>
      </c>
      <c r="J10" s="68"/>
      <c r="K10" s="68">
        <v>1</v>
      </c>
      <c r="L10" s="93">
        <v>8</v>
      </c>
      <c r="M10" s="73">
        <v>6</v>
      </c>
      <c r="N10" s="73"/>
      <c r="O10" s="94">
        <v>2.5</v>
      </c>
      <c r="P10" s="73">
        <v>6</v>
      </c>
      <c r="Q10" s="73">
        <v>3.87</v>
      </c>
      <c r="R10" s="73"/>
      <c r="S10" s="73">
        <v>2.62</v>
      </c>
      <c r="T10" s="95">
        <f>+BH10+AJ10</f>
        <v>45.496000000000002</v>
      </c>
      <c r="U10" s="75">
        <f>+IF(BH10&lt;$D$75,BH10*AI10,$D$75*$AI10)</f>
        <v>0</v>
      </c>
      <c r="V10" s="75">
        <f>+IF(U10&lt;$D$75*$AI10,0,IF(BH10&lt;$D$76,BH10*AI10-U10,($D$76-$D$75)*AI10))</f>
        <v>0</v>
      </c>
      <c r="W10" s="75">
        <f>+IF(V10&lt;($D$76-$D$75)*$AI10,0,IF(BH10&gt;$D$77,($D$77-$D$76)*$AI10,BH10*$AI10-U10-V10))</f>
        <v>0</v>
      </c>
      <c r="X10" s="75">
        <f>+IF($W10&lt;($D$77-$D$76)*$AI10,0,BH10*AI10-W10-U10-V10)</f>
        <v>49.980000000000018</v>
      </c>
      <c r="Y10" s="96"/>
      <c r="Z10" s="77">
        <f>+IF(U10&gt;0,120*AI10,0)</f>
        <v>0</v>
      </c>
      <c r="AA10" s="97"/>
      <c r="AB10" s="75"/>
      <c r="AC10" s="98">
        <f>+Y10*7</f>
        <v>0</v>
      </c>
      <c r="AD10" s="75"/>
      <c r="AE10" s="99">
        <f>Y10*10/52</f>
        <v>0</v>
      </c>
      <c r="AF10" s="100">
        <f>(AW10*AK10*AM10+AZ10/2*AL10*AM10)/52</f>
        <v>0</v>
      </c>
      <c r="AG10" s="83"/>
      <c r="AH10" s="101">
        <v>44</v>
      </c>
      <c r="AI10" s="73">
        <v>5</v>
      </c>
      <c r="AJ10" s="73">
        <v>35.5</v>
      </c>
      <c r="AK10" s="85"/>
      <c r="AL10" s="86"/>
      <c r="AM10" s="87"/>
      <c r="AN10" s="102" t="e">
        <f>BW10</f>
        <v>#REF!</v>
      </c>
      <c r="AO10" s="89"/>
      <c r="AP10" s="89"/>
      <c r="AQ10" s="89"/>
      <c r="AR10" s="89"/>
      <c r="AS10" s="89"/>
      <c r="AT10" s="89"/>
      <c r="AU10" s="89"/>
      <c r="AV10" s="90">
        <f>((D10*L10)+(E10*M10)+(F10*N10)+(G10*O10))*5+((H10*P10)+(I10*Q10)+(J10*R10)+(K10*S10))*2</f>
        <v>227.48000000000002</v>
      </c>
      <c r="AW10" s="8">
        <f t="array" ref="AW10">+SUM(E10:G10*M10:O10)</f>
        <v>8.5</v>
      </c>
      <c r="AX10" s="8">
        <f t="array" ref="AX10">+SUM(H10:K10*P10:S10)*2</f>
        <v>24.980000000000004</v>
      </c>
      <c r="AY10" s="8">
        <f>((E10*AO10)+(F10*AP10)+(G10*AQ10))*5+((I10*AR10)+(J10*AS10)+(K10*AT10))*2</f>
        <v>0</v>
      </c>
      <c r="AZ10" s="8">
        <f>((J10*R10)+(K10*AU10)+(I10*Q10)+(H10*P10))*2</f>
        <v>19.740000000000002</v>
      </c>
      <c r="BA10" s="8" t="e">
        <f>((J10*R10)+(K10*S10)+(I10*Q10)+(H10*P10))*#REF!</f>
        <v>#REF!</v>
      </c>
      <c r="BB10" s="83">
        <v>1</v>
      </c>
      <c r="BC10" s="91">
        <f>AV10/AJ10</f>
        <v>6.4078873239436627</v>
      </c>
      <c r="BD10" s="77">
        <f>+SUM(AK10:AL10)/52*IF(Y10=1,0.5,IF(Y10=2,1.5,IF(Y10=4,3,IF(Y10=5,5,0))))+AV10</f>
        <v>227.48000000000002</v>
      </c>
      <c r="BE10" s="77">
        <f>+SUM(AK10:AL10)/52*AM10*IF(Y10=1,0.5,IF(Y10=2,1.5,IF(Y10=4,3,IF(Y10=5,5,0))))+AG10*AV10</f>
        <v>0</v>
      </c>
      <c r="BF10" s="77">
        <f>+(AW10*AK10*AM10+AX10/2*AL10*AM10)/52+AB10</f>
        <v>0</v>
      </c>
      <c r="BG10" s="77">
        <f>SUM(BD10:BF10)</f>
        <v>227.48000000000002</v>
      </c>
      <c r="BH10" s="92">
        <f>+(BC10-AI10)/AI10*AJ10</f>
        <v>9.996000000000004</v>
      </c>
      <c r="BI10" s="26"/>
      <c r="BJ10" s="6" t="str">
        <f>C10</f>
        <v>Ass leger</v>
      </c>
      <c r="BK10" s="8" t="e">
        <f>TRUNC(CB10*AI10/1000)</f>
        <v>#REF!</v>
      </c>
      <c r="BL10" s="8" t="e">
        <f>TRUNC(#REF!*Z10/1000)</f>
        <v>#REF!</v>
      </c>
      <c r="BM10" s="8" t="e">
        <f>TRUNC(#REF!*AA10/1000)</f>
        <v>#REF!</v>
      </c>
      <c r="BN10" s="8" t="e">
        <f>TRUNC(#REF!*AZ10*#REF!)/1000</f>
        <v>#REF!</v>
      </c>
      <c r="BO10" s="8" t="e">
        <f>IF(AJ10=35.5,TRUNC(BA10*CN10*(1-BB10)/1000),TRUNC(BA10*CN10*(1-BB10)/1000))</f>
        <v>#REF!</v>
      </c>
      <c r="BP10" s="8" t="e">
        <f>TRUNC(AY10*#REF!*CL10)/1000</f>
        <v>#REF!</v>
      </c>
      <c r="BQ10" s="8" t="e">
        <f>TRUNC((SUM(BK10:BP10)+SUM(BS10:BT10))*AG10)</f>
        <v>#REF!</v>
      </c>
      <c r="BR10" s="8"/>
      <c r="BS10" s="8" t="e">
        <f>TRUNC(#REF!*((V10*CG10)+(U10*CF10)+(W10*CI10)+(X10*CK10)))/1000</f>
        <v>#REF!</v>
      </c>
      <c r="BT10" s="8" t="e">
        <f>TRUNC(#REF!*((AC10*CG10)+(AD10*CH10)+(AE10*CI10)+(AF10*CK10))+BR10*AM10*1000)/1000</f>
        <v>#REF!</v>
      </c>
      <c r="BU10" s="8" t="e">
        <f>+BK10*#REF!</f>
        <v>#REF!</v>
      </c>
      <c r="BV10" s="8" t="e">
        <f>SUM(BK10:BU10)*#REF!</f>
        <v>#REF!</v>
      </c>
      <c r="BW10" s="8" t="e">
        <f>TRUNC(SUM(BK10:BV10))</f>
        <v>#REF!</v>
      </c>
      <c r="BX10" s="8" t="e">
        <f>+BK10+BL10+BM10+BN10+BP10+BR10+BS10+BO10</f>
        <v>#REF!</v>
      </c>
      <c r="BY10" s="8" t="e">
        <f>+BW10-BX10-BZ10</f>
        <v>#REF!</v>
      </c>
      <c r="BZ10" s="8" t="e">
        <f>+BU10+BV10</f>
        <v>#REF!</v>
      </c>
      <c r="CA10" s="6">
        <f>AH10</f>
        <v>44</v>
      </c>
      <c r="CB10" s="77" t="e">
        <f>IF($CA10&gt;0,VLOOKUP($CA10,#REF!,2)*#REF!,0)</f>
        <v>#REF!</v>
      </c>
      <c r="CC10" s="77" t="e">
        <f>IF($CA10&gt;0,VLOOKUP($CA10,#REF!,3)*#REF!,0)</f>
        <v>#REF!</v>
      </c>
      <c r="CD10" s="77" t="e">
        <f>IF($CA10&gt;0,VLOOKUP($CA10,#REF!,4)*#REF!,0)</f>
        <v>#REF!</v>
      </c>
      <c r="CE10" s="77" t="e">
        <f>IF($CA10&gt;0,VLOOKUP($CA10,#REF!,5)*#REF!,0)</f>
        <v>#REF!</v>
      </c>
      <c r="CF10" s="77" t="e">
        <f>IF($CA10&gt;0,VLOOKUP($CA10,#REF!,6)*#REF!,0)</f>
        <v>#REF!</v>
      </c>
      <c r="CG10" s="77" t="e">
        <f>IF($CA10&gt;0,VLOOKUP($CA10,#REF!,7)*#REF!,0)</f>
        <v>#REF!</v>
      </c>
      <c r="CH10" s="77" t="e">
        <f>+(CG10+CI10)/2</f>
        <v>#REF!</v>
      </c>
      <c r="CI10" s="77" t="e">
        <f>IF($CA10&gt;0,VLOOKUP($CA10,#REF!,8)*#REF!,0)</f>
        <v>#REF!</v>
      </c>
      <c r="CJ10" s="77" t="e">
        <f>IF($CA10&gt;0,VLOOKUP($CA10,#REF!,9)*#REF!,0)</f>
        <v>#REF!</v>
      </c>
      <c r="CK10" s="77" t="e">
        <f>IF($CA10&gt;0,VLOOKUP($CA10,#REF!,10)*#REF!,0)</f>
        <v>#REF!</v>
      </c>
      <c r="CL10" s="77" t="e">
        <f>IF($CA10&gt;0,VLOOKUP($CA10,#REF!,11)*#REF!,0)</f>
        <v>#REF!</v>
      </c>
      <c r="CM10" s="77" t="e">
        <f>IF($CA10&gt;0,VLOOKUP($CA10,#REF!,12)*#REF!,0)</f>
        <v>#REF!</v>
      </c>
      <c r="CN10" s="77" t="e">
        <f>IF($CA10&gt;0,VLOOKUP($CA10,#REF!,13)*#REF!,0)</f>
        <v>#REF!</v>
      </c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</row>
    <row r="11" spans="1:183" s="64" customFormat="1">
      <c r="B11" s="103"/>
      <c r="C11" s="104" t="s">
        <v>103</v>
      </c>
      <c r="D11" s="105">
        <v>4.5999999999999996</v>
      </c>
      <c r="E11" s="106">
        <v>1</v>
      </c>
      <c r="F11" s="106"/>
      <c r="G11" s="106">
        <v>1</v>
      </c>
      <c r="H11" s="105">
        <v>1</v>
      </c>
      <c r="I11" s="106">
        <v>1</v>
      </c>
      <c r="J11" s="106"/>
      <c r="K11" s="106">
        <v>1</v>
      </c>
      <c r="L11" s="107">
        <v>6.56</v>
      </c>
      <c r="M11" s="108">
        <v>3.5</v>
      </c>
      <c r="N11" s="108"/>
      <c r="O11" s="109">
        <v>15.5</v>
      </c>
      <c r="P11" s="108">
        <v>6</v>
      </c>
      <c r="Q11" s="108">
        <v>2.5</v>
      </c>
      <c r="R11" s="108"/>
      <c r="S11" s="108">
        <v>16.5</v>
      </c>
      <c r="T11" s="110">
        <f>+BH11+AJ11</f>
        <v>42.26857142857142</v>
      </c>
      <c r="U11" s="111">
        <f>+IF(BH11&lt;$D$75,BH11*AI11,$D$75*$AI11)</f>
        <v>0</v>
      </c>
      <c r="V11" s="111">
        <f>+IF(U11&lt;$D$75*$AI11,0,IF(BH11&lt;$D$76,BH11*AI11-U11,($D$76-$D$75)*AI11))</f>
        <v>0</v>
      </c>
      <c r="W11" s="111">
        <f>+IF(V11&lt;($D$76-$D$75)*$AI11,0,IF(BH11&gt;$D$77,($D$77-$D$76)*$AI11,BH11*$AI11-U11-V11))</f>
        <v>0</v>
      </c>
      <c r="X11" s="111">
        <f>+IF($W11&lt;($D$77-$D$76)*$AI11,0,BH11*AI11-W11-U11-V11)</f>
        <v>47.379999999999967</v>
      </c>
      <c r="Y11" s="112"/>
      <c r="Z11" s="113">
        <f>+IF(U11&gt;0,120*AI11,0)</f>
        <v>0</v>
      </c>
      <c r="AA11" s="114"/>
      <c r="AB11" s="111"/>
      <c r="AC11" s="115">
        <f>+Y11*7</f>
        <v>0</v>
      </c>
      <c r="AD11" s="111"/>
      <c r="AE11" s="116">
        <f>Y11*10/52</f>
        <v>0</v>
      </c>
      <c r="AF11" s="117">
        <f>(AW11*AK11*AM11+AZ11/2*AL11*AM11)/52</f>
        <v>0</v>
      </c>
      <c r="AG11" s="118"/>
      <c r="AH11" s="119">
        <v>32</v>
      </c>
      <c r="AI11" s="108">
        <v>7</v>
      </c>
      <c r="AJ11" s="108">
        <v>35.5</v>
      </c>
      <c r="AK11" s="120"/>
      <c r="AL11" s="121"/>
      <c r="AM11" s="122"/>
      <c r="AN11" s="46" t="e">
        <f>BW11</f>
        <v>#REF!</v>
      </c>
      <c r="AO11" s="123"/>
      <c r="AP11" s="123"/>
      <c r="AQ11" s="123"/>
      <c r="AR11" s="123"/>
      <c r="AS11" s="123"/>
      <c r="AT11" s="123"/>
      <c r="AU11" s="123"/>
      <c r="AV11" s="124">
        <f>((D11*L11)+(E11*M11)+(F11*N11)+(G11*O11))*5+((H11*P11)+(I11*Q11)+(J11*R11)+(K11*S11))*2</f>
        <v>295.88</v>
      </c>
      <c r="AW11" s="125">
        <f t="array" ref="AW11">+SUM(E11:G11*M11:O11)</f>
        <v>19</v>
      </c>
      <c r="AX11" s="125">
        <f t="array" ref="AX11">+SUM(H11:K11*P11:S11)*2</f>
        <v>50</v>
      </c>
      <c r="AY11" s="125">
        <f>((E11*AO11)+(F11*AP11)+(G11*AQ11))*5+((I11*AR11)+(J11*AS11)+(K11*AT11))*2</f>
        <v>0</v>
      </c>
      <c r="AZ11" s="125">
        <f>((J11*R11)+(K11*AU11)+(I11*Q11)+(H11*P11))*2</f>
        <v>17</v>
      </c>
      <c r="BA11" s="125" t="e">
        <f>((J11*R11)+(K11*S11)+(I11*Q11)+(H11*P11))*#REF!</f>
        <v>#REF!</v>
      </c>
      <c r="BB11" s="118">
        <v>2</v>
      </c>
      <c r="BC11" s="126">
        <f>AV11/AJ11</f>
        <v>8.3346478873239427</v>
      </c>
      <c r="BD11" s="113">
        <f>+SUM(AK11:AL11)/52*IF(Y11=1,0.5,IF(Y11=2,1.5,IF(Y11=4,3,IF(Y11=5,5,0))))+AV11</f>
        <v>295.88</v>
      </c>
      <c r="BE11" s="113">
        <f>+SUM(AK11:AL11)/52*AM11*IF(Y11=1,0.5,IF(Y11=2,1.5,IF(Y11=4,3,IF(Y11=5,5,0))))+AG11*AV11</f>
        <v>0</v>
      </c>
      <c r="BF11" s="113">
        <f>+(AW11*AK11*AM11+AX11/2*AL11*AM11)/52+AB11</f>
        <v>0</v>
      </c>
      <c r="BG11" s="113">
        <f>SUM(BD11:BF11)</f>
        <v>295.88</v>
      </c>
      <c r="BH11" s="127">
        <f>+(BC11-AI11)/AI11*AJ11</f>
        <v>6.7685714285714234</v>
      </c>
      <c r="BI11" s="104"/>
      <c r="BJ11" s="63" t="str">
        <f>C11</f>
        <v>Turnus leger</v>
      </c>
      <c r="BK11" s="125" t="e">
        <f>TRUNC(CB11*AI11/1000)</f>
        <v>#REF!</v>
      </c>
      <c r="BL11" s="125" t="e">
        <f>TRUNC(#REF!*Z11/1000)</f>
        <v>#REF!</v>
      </c>
      <c r="BM11" s="125" t="e">
        <f>TRUNC(#REF!*AA11/1000)</f>
        <v>#REF!</v>
      </c>
      <c r="BN11" s="125" t="e">
        <f>TRUNC(#REF!*AZ11*#REF!)/1000</f>
        <v>#REF!</v>
      </c>
      <c r="BO11" s="125" t="e">
        <f>IF(AJ11=35.5,TRUNC(BA11*CN11*(1-BB11)/1000),TRUNC(BA11*CN11*(1-BB11)/1000))</f>
        <v>#REF!</v>
      </c>
      <c r="BP11" s="125" t="e">
        <f>TRUNC(AY11*#REF!*CL11)/1000</f>
        <v>#REF!</v>
      </c>
      <c r="BQ11" s="125" t="e">
        <f>TRUNC((SUM(BK11:BP11)+SUM(BS11:BT11))*AG11)</f>
        <v>#REF!</v>
      </c>
      <c r="BR11" s="125"/>
      <c r="BS11" s="125" t="e">
        <f>TRUNC(#REF!*((V11*CG11)+(U11*CF11)+(W11*CI11)+(X11*CK11)))/1000</f>
        <v>#REF!</v>
      </c>
      <c r="BT11" s="125" t="e">
        <f>TRUNC(#REF!*((AC11*CG11)+(AD11*CH11)+(AE11*CI11)+(AF11*CK11))+BR11*AM11*1000)/1000</f>
        <v>#REF!</v>
      </c>
      <c r="BU11" s="125" t="e">
        <f>+BK11*#REF!</f>
        <v>#REF!</v>
      </c>
      <c r="BV11" s="125" t="e">
        <f>SUM(BK11:BU11)*#REF!</f>
        <v>#REF!</v>
      </c>
      <c r="BW11" s="125" t="e">
        <f>TRUNC(SUM(BK11:BV11))</f>
        <v>#REF!</v>
      </c>
      <c r="BX11" s="125" t="e">
        <f>+BK11+BL11+BM11+BN11+BP11+BR11+BS11+BO11</f>
        <v>#REF!</v>
      </c>
      <c r="BY11" s="125" t="e">
        <f>+BW11-BX11-BZ11</f>
        <v>#REF!</v>
      </c>
      <c r="BZ11" s="125" t="e">
        <f>+BU11+BV11</f>
        <v>#REF!</v>
      </c>
      <c r="CA11" s="62">
        <f>AH11</f>
        <v>32</v>
      </c>
      <c r="CB11" s="113" t="e">
        <f>IF($CA11&gt;0,VLOOKUP($CA11,#REF!,2)*#REF!,0)</f>
        <v>#REF!</v>
      </c>
      <c r="CC11" s="113" t="e">
        <f>IF($CA11&gt;0,VLOOKUP($CA11,#REF!,3)*#REF!,0)</f>
        <v>#REF!</v>
      </c>
      <c r="CD11" s="113" t="e">
        <f>IF($CA11&gt;0,VLOOKUP($CA11,#REF!,4)*#REF!,0)</f>
        <v>#REF!</v>
      </c>
      <c r="CE11" s="113" t="e">
        <f>IF($CA11&gt;0,VLOOKUP($CA11,#REF!,5)*#REF!,0)</f>
        <v>#REF!</v>
      </c>
      <c r="CF11" s="113" t="e">
        <f>IF($CA11&gt;0,VLOOKUP($CA11,#REF!,6)*#REF!,0)</f>
        <v>#REF!</v>
      </c>
      <c r="CG11" s="113" t="e">
        <f>IF($CA11&gt;0,VLOOKUP($CA11,#REF!,7)*#REF!,0)</f>
        <v>#REF!</v>
      </c>
      <c r="CH11" s="113" t="e">
        <f>+(CG11+CI11)/2</f>
        <v>#REF!</v>
      </c>
      <c r="CI11" s="113" t="e">
        <f>IF($CA11&gt;0,VLOOKUP($CA11,#REF!,8)*#REF!,0)</f>
        <v>#REF!</v>
      </c>
      <c r="CJ11" s="113" t="e">
        <f>IF($CA11&gt;0,VLOOKUP($CA11,#REF!,9)*#REF!,0)</f>
        <v>#REF!</v>
      </c>
      <c r="CK11" s="113" t="e">
        <f>IF($CA11&gt;0,VLOOKUP($CA11,#REF!,10)*#REF!,0)</f>
        <v>#REF!</v>
      </c>
      <c r="CL11" s="113" t="e">
        <f>IF($CA11&gt;0,VLOOKUP($CA11,#REF!,11)*#REF!,0)</f>
        <v>#REF!</v>
      </c>
      <c r="CM11" s="113" t="e">
        <f>IF($CA11&gt;0,VLOOKUP($CA11,#REF!,12)*#REF!,0)</f>
        <v>#REF!</v>
      </c>
      <c r="CN11" s="113" t="e">
        <f>IF($CA11&gt;0,VLOOKUP($CA11,#REF!,13)*#REF!,0)</f>
        <v>#REF!</v>
      </c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</row>
    <row r="12" spans="1:183">
      <c r="A12" s="128"/>
      <c r="B12" s="26"/>
      <c r="C12" s="23"/>
      <c r="D12" s="23"/>
      <c r="E12" s="24"/>
      <c r="F12" s="24"/>
      <c r="G12" s="24"/>
      <c r="H12" s="21"/>
      <c r="I12" s="35"/>
      <c r="J12" s="35"/>
      <c r="K12" s="39"/>
      <c r="L12" s="21"/>
      <c r="M12" s="14"/>
      <c r="N12" s="14"/>
      <c r="O12" s="39"/>
      <c r="P12" s="24"/>
      <c r="Q12" s="20"/>
      <c r="R12" s="20"/>
      <c r="S12" s="24"/>
      <c r="T12" s="129"/>
      <c r="U12" s="27"/>
      <c r="V12" s="130"/>
      <c r="W12" s="130"/>
      <c r="X12" s="130"/>
      <c r="Y12" s="28"/>
      <c r="Z12" s="24"/>
      <c r="AA12" s="23"/>
      <c r="AB12" s="23"/>
      <c r="AC12" s="131"/>
      <c r="AD12" s="130"/>
      <c r="AE12" s="27"/>
      <c r="AF12" s="130"/>
      <c r="AG12" s="23"/>
      <c r="AH12" s="132"/>
      <c r="AI12" s="42"/>
      <c r="AJ12" s="42"/>
      <c r="AK12" s="23"/>
      <c r="AL12" s="24"/>
      <c r="AM12" s="28"/>
      <c r="AN12" s="24"/>
      <c r="AO12" s="41"/>
      <c r="AP12" s="42"/>
      <c r="AQ12" s="42"/>
      <c r="AR12" s="42"/>
      <c r="AS12" s="42"/>
      <c r="AT12" s="42"/>
      <c r="AU12" s="42"/>
      <c r="AV12" s="4"/>
      <c r="AW12" s="6"/>
      <c r="AX12" s="6"/>
      <c r="AY12" s="42"/>
      <c r="AZ12" s="42"/>
      <c r="BA12" s="42"/>
      <c r="BB12" s="42"/>
      <c r="BC12" s="42"/>
      <c r="BD12" s="6"/>
      <c r="BE12" s="6"/>
      <c r="BF12" s="6"/>
      <c r="BG12" s="6"/>
      <c r="BH12" s="6"/>
      <c r="BI12" s="41"/>
      <c r="BJ12" s="6"/>
      <c r="BK12" s="42"/>
      <c r="BL12" s="42"/>
      <c r="BM12" s="42"/>
      <c r="BN12" s="42"/>
      <c r="BO12" s="42"/>
      <c r="BP12" s="42"/>
      <c r="BQ12" s="42"/>
      <c r="BR12" s="3"/>
      <c r="BS12" s="42"/>
      <c r="BT12" s="42"/>
      <c r="BU12" s="42"/>
      <c r="BV12" s="42"/>
      <c r="BW12" s="42"/>
      <c r="BX12" s="42"/>
      <c r="BY12" s="42"/>
      <c r="BZ12" s="42"/>
      <c r="CA12" s="41"/>
      <c r="CB12" s="6"/>
      <c r="CC12" s="6"/>
      <c r="CD12" s="6"/>
      <c r="CE12" s="6"/>
      <c r="CF12" s="6"/>
      <c r="CG12" s="6"/>
      <c r="CH12" s="133"/>
      <c r="CI12" s="6"/>
      <c r="CJ12" s="6"/>
      <c r="CK12" s="134"/>
      <c r="CL12" s="6"/>
      <c r="CM12" s="6"/>
      <c r="CN12" s="6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</row>
    <row r="13" spans="1:183" s="3" customFormat="1">
      <c r="A13" s="3" t="s">
        <v>104</v>
      </c>
      <c r="B13" s="67" t="s">
        <v>99</v>
      </c>
      <c r="C13" s="26" t="s">
        <v>100</v>
      </c>
      <c r="D13" s="68">
        <v>3.5</v>
      </c>
      <c r="E13" s="68">
        <v>1</v>
      </c>
      <c r="F13" s="68"/>
      <c r="G13" s="68">
        <v>1</v>
      </c>
      <c r="H13" s="69">
        <v>1</v>
      </c>
      <c r="I13" s="68">
        <v>1</v>
      </c>
      <c r="J13" s="68"/>
      <c r="K13" s="135">
        <v>1</v>
      </c>
      <c r="L13" s="93">
        <v>8.39</v>
      </c>
      <c r="M13" s="73">
        <v>3.8</v>
      </c>
      <c r="N13" s="73"/>
      <c r="O13" s="94">
        <v>2.37</v>
      </c>
      <c r="P13" s="73">
        <v>5.37</v>
      </c>
      <c r="Q13" s="73">
        <v>5.5</v>
      </c>
      <c r="R13" s="73"/>
      <c r="S13" s="73">
        <v>2.37</v>
      </c>
      <c r="T13" s="95">
        <f>+BH13+AJ13</f>
        <v>51.038749999999993</v>
      </c>
      <c r="U13" s="75">
        <f>+IF(BH13&lt;$D$75,BH13*AI13,$D$75*$AI13)</f>
        <v>0</v>
      </c>
      <c r="V13" s="75">
        <f>+IF(U13&lt;$D$75*$AI13,0,IF(BH13&lt;$D$76,BH13*AI13-U13,($D$76-$D$75)*AI13))</f>
        <v>0</v>
      </c>
      <c r="W13" s="75">
        <f>+IF(V13&lt;($D$76-$D$75)*$AI13,0,IF(BH13&gt;$D$77,($D$77-$D$76)*$AI13,BH13*$AI13-U13-V13))</f>
        <v>0</v>
      </c>
      <c r="X13" s="75">
        <f>+IF($W13&lt;($D$77-$D$76)*$AI13,0,BH13*AI13-W13-U13-V13)</f>
        <v>62.154999999999973</v>
      </c>
      <c r="Y13" s="96"/>
      <c r="Z13" s="77">
        <f>+IF(U13&gt;0,120*AI13,0)</f>
        <v>0</v>
      </c>
      <c r="AA13" s="78"/>
      <c r="AB13" s="75"/>
      <c r="AC13" s="79"/>
      <c r="AD13" s="80"/>
      <c r="AE13" s="81"/>
      <c r="AF13" s="82">
        <f>(AW13*AK13*AM13+AZ13/2*AL13*AM13)/52</f>
        <v>0</v>
      </c>
      <c r="AG13" s="83"/>
      <c r="AH13" s="84">
        <v>55</v>
      </c>
      <c r="AI13" s="73">
        <v>4</v>
      </c>
      <c r="AJ13" s="73">
        <v>35.5</v>
      </c>
      <c r="AK13" s="85"/>
      <c r="AL13" s="86"/>
      <c r="AM13" s="87"/>
      <c r="AN13" s="88" t="e">
        <f>BW13</f>
        <v>#REF!</v>
      </c>
      <c r="AO13" s="89"/>
      <c r="AP13" s="89"/>
      <c r="AQ13" s="89"/>
      <c r="AR13" s="89"/>
      <c r="AS13" s="89"/>
      <c r="AT13" s="89"/>
      <c r="AU13" s="89"/>
      <c r="AV13" s="90">
        <f>((D13*L13)+(E13*M13)+(F13*N13)+(G13*O13))*5+((H13*P13)+(I13*Q13)+(J13*R13)+(K13*S13))*2</f>
        <v>204.15499999999997</v>
      </c>
      <c r="AW13" s="8">
        <f t="array" ref="AW13">+SUM(E13:G13*M13:O13)</f>
        <v>6.17</v>
      </c>
      <c r="AX13" s="8">
        <f t="array" ref="AX13">+SUM(H13:K13*P13:S13)*2</f>
        <v>26.480000000000004</v>
      </c>
      <c r="AY13" s="8">
        <f>((E13*AO13)+(F13*AP13)+(G13*AQ13))*5+((I13*AR13)+(J13*AS13)+(K13*AT13))*2</f>
        <v>0</v>
      </c>
      <c r="AZ13" s="8">
        <f>((J13*R13)+(K13*AU13)+(I13*Q13)+(H13*P13))*2</f>
        <v>21.740000000000002</v>
      </c>
      <c r="BA13" s="8" t="e">
        <f>((J13*R13)+(K13*S13)+(I13*Q13)+(H13*P13))*#REF!</f>
        <v>#REF!</v>
      </c>
      <c r="BB13" s="83">
        <v>0</v>
      </c>
      <c r="BC13" s="91">
        <f>AV13/AJ13</f>
        <v>5.7508450704225345</v>
      </c>
      <c r="BD13" s="77">
        <f>+SUM(AK13:AL13)/52*IF(Y13=1,0.5,IF(Y13=2,1.5,IF(Y13=4,3,IF(Y13=5,5,0))))+AV13</f>
        <v>204.15499999999997</v>
      </c>
      <c r="BE13" s="77">
        <f>+SUM(AK13:AL13)/52*AM13*IF(Y13=1,0.5,IF(Y13=2,1.5,IF(Y13=4,3,IF(Y13=5,5,0))))+AG13*AV13</f>
        <v>0</v>
      </c>
      <c r="BF13" s="77">
        <f>+(AW13*AK13*AM13+AX13/2*AL13*AM13)/52+AB13</f>
        <v>0</v>
      </c>
      <c r="BG13" s="77">
        <f>SUM(BD13:BF13)</f>
        <v>204.15499999999997</v>
      </c>
      <c r="BH13" s="92">
        <f>+(BC13-AI13)/AI13*AJ13</f>
        <v>15.538749999999993</v>
      </c>
      <c r="BI13" s="26"/>
      <c r="BJ13" s="6" t="str">
        <f>C13</f>
        <v xml:space="preserve"> overlege</v>
      </c>
      <c r="BK13" s="8" t="e">
        <f>TRUNC(CB13*AI13/1000)</f>
        <v>#REF!</v>
      </c>
      <c r="BL13" s="8" t="e">
        <f>TRUNC(#REF!*Z13/1000)</f>
        <v>#REF!</v>
      </c>
      <c r="BM13" s="8" t="e">
        <f>TRUNC(#REF!*AA13/1000)</f>
        <v>#REF!</v>
      </c>
      <c r="BN13" s="8" t="e">
        <f>TRUNC(#REF!*AZ13*#REF!)/1000</f>
        <v>#REF!</v>
      </c>
      <c r="BO13" s="8" t="e">
        <f>IF(AJ13=35.5,TRUNC(BA13*CN13*(1-BB13)/1000),TRUNC(BA13*CN13*(1-BB13)/1000))</f>
        <v>#REF!</v>
      </c>
      <c r="BP13" s="8" t="e">
        <f>TRUNC(AY13*#REF!*CL13)/1000</f>
        <v>#REF!</v>
      </c>
      <c r="BQ13" s="8" t="e">
        <f>TRUNC((SUM(BK13:BP13)+SUM(BS13:BT13))*AG13)</f>
        <v>#REF!</v>
      </c>
      <c r="BR13" s="8" t="e">
        <f>TRUNC(IF(Y13=#REF!,(#REF!*AK13+#REF!*(AL13+#REF!))/1000,IF(Y13=#REF!,(#REF!*AK13+#REF!*(AL13+#REF!))/1000,IF(Y13=#REF!,(#REF!*AK13+#REF!*(AL13+#REF!))/1000,IF(Y13=#REF!,(#REF!*AK13+#REF!*(AL13+#REF!))/1000,0)))))*(1+AM13)</f>
        <v>#REF!</v>
      </c>
      <c r="BS13" s="8" t="e">
        <f>TRUNC(#REF!*((V13*CG13)+(U13*CF13)+(W13*CI13)+(X13*CK13)))/1000</f>
        <v>#REF!</v>
      </c>
      <c r="BT13" s="8" t="e">
        <f>TRUNC(#REF!*((AC13*CG13)+(AD13*CH13)+(AE13*CI13)+(AF13*CK13))+BR13*AM13*1000)/1000</f>
        <v>#REF!</v>
      </c>
      <c r="BU13" s="8" t="e">
        <f>+BK13*#REF!</f>
        <v>#REF!</v>
      </c>
      <c r="BV13" s="8" t="e">
        <f>SUM(BK13:BU13)*#REF!</f>
        <v>#REF!</v>
      </c>
      <c r="BW13" s="8" t="e">
        <f>TRUNC(SUM(BK13:BV13))</f>
        <v>#REF!</v>
      </c>
      <c r="BX13" s="8" t="e">
        <f>+BK13+BL13+BM13+BN13+BP13+BR13+BS13+BO13</f>
        <v>#REF!</v>
      </c>
      <c r="BY13" s="8" t="e">
        <f>+BW13-BX13-BZ13</f>
        <v>#REF!</v>
      </c>
      <c r="BZ13" s="8" t="e">
        <f>+BU13+BV13</f>
        <v>#REF!</v>
      </c>
      <c r="CA13" s="6">
        <f>AH13</f>
        <v>55</v>
      </c>
      <c r="CB13" s="77" t="e">
        <f>IF($CA13&gt;0,VLOOKUP($CA13,#REF!,2)*#REF!,0)</f>
        <v>#REF!</v>
      </c>
      <c r="CC13" s="77" t="e">
        <f>IF($CA13&gt;0,VLOOKUP($CA13,#REF!,3)*#REF!,0)</f>
        <v>#REF!</v>
      </c>
      <c r="CD13" s="77" t="e">
        <f>IF($CA13&gt;0,VLOOKUP($CA13,#REF!,4)*#REF!,0)</f>
        <v>#REF!</v>
      </c>
      <c r="CE13" s="77" t="e">
        <f>IF($CA13&gt;0,VLOOKUP($CA13,#REF!,5)*#REF!,0)</f>
        <v>#REF!</v>
      </c>
      <c r="CF13" s="77" t="e">
        <f>IF($CA13&gt;0,VLOOKUP($CA13,#REF!,6)*#REF!,0)</f>
        <v>#REF!</v>
      </c>
      <c r="CG13" s="77" t="e">
        <f>IF($CA13&gt;0,VLOOKUP($CA13,#REF!,7)*#REF!,0)</f>
        <v>#REF!</v>
      </c>
      <c r="CH13" s="77" t="e">
        <f>+(CG13+CI13)/2</f>
        <v>#REF!</v>
      </c>
      <c r="CI13" s="77" t="e">
        <f>IF($CA13&gt;0,VLOOKUP($CA13,#REF!,8)*#REF!,0)</f>
        <v>#REF!</v>
      </c>
      <c r="CJ13" s="77" t="e">
        <f>IF($CA13&gt;0,VLOOKUP($CA13,#REF!,9)*#REF!,0)</f>
        <v>#REF!</v>
      </c>
      <c r="CK13" s="77" t="e">
        <f>IF($CA13&gt;0,VLOOKUP($CA13,#REF!,10)*#REF!,0)</f>
        <v>#REF!</v>
      </c>
      <c r="CL13" s="77" t="e">
        <f>IF($CA13&gt;0,VLOOKUP($CA13,#REF!,11)*#REF!,0)</f>
        <v>#REF!</v>
      </c>
      <c r="CM13" s="77" t="e">
        <f>IF($CA13&gt;0,VLOOKUP($CA13,#REF!,12)*#REF!,0)</f>
        <v>#REF!</v>
      </c>
      <c r="CN13" s="77" t="e">
        <f>IF($CA13&gt;0,VLOOKUP($CA13,#REF!,13)*#REF!,0)</f>
        <v>#REF!</v>
      </c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</row>
    <row r="14" spans="1:183" s="3" customFormat="1">
      <c r="B14" s="67"/>
      <c r="C14" s="26" t="s">
        <v>102</v>
      </c>
      <c r="D14" s="69">
        <v>3.45</v>
      </c>
      <c r="E14" s="68">
        <v>1</v>
      </c>
      <c r="F14" s="68"/>
      <c r="G14" s="68">
        <v>1</v>
      </c>
      <c r="H14" s="69">
        <v>1</v>
      </c>
      <c r="I14" s="68">
        <v>1</v>
      </c>
      <c r="J14" s="68"/>
      <c r="K14" s="135">
        <v>1</v>
      </c>
      <c r="L14" s="93">
        <v>8.1</v>
      </c>
      <c r="M14" s="73">
        <v>4.6500000000000004</v>
      </c>
      <c r="N14" s="73"/>
      <c r="O14" s="94">
        <v>2.37</v>
      </c>
      <c r="P14" s="73">
        <v>6.38</v>
      </c>
      <c r="Q14" s="73">
        <v>4.75</v>
      </c>
      <c r="R14" s="73"/>
      <c r="S14" s="73">
        <v>2.37</v>
      </c>
      <c r="T14" s="95">
        <f>+BH14+AJ14</f>
        <v>50.456249999999997</v>
      </c>
      <c r="U14" s="75">
        <f>+IF(BH14&lt;$D$75,BH14*AI14,$D$75*$AI14)</f>
        <v>0</v>
      </c>
      <c r="V14" s="75">
        <f>+IF(U14&lt;$D$75*$AI14,0,IF(BH14&lt;$D$76,BH14*AI14-U14,($D$76-$D$75)*AI14))</f>
        <v>0</v>
      </c>
      <c r="W14" s="75">
        <f>+IF(V14&lt;($D$76-$D$75)*$AI14,0,IF(BH14&gt;$D$77,($D$77-$D$76)*$AI14,BH14*$AI14-U14-V14))</f>
        <v>0</v>
      </c>
      <c r="X14" s="75">
        <f>+IF($W14&lt;($D$77-$D$76)*$AI14,0,BH14*AI14-W14-U14-V14)</f>
        <v>59.824999999999989</v>
      </c>
      <c r="Y14" s="96"/>
      <c r="Z14" s="77">
        <f>+IF(U14&gt;0,120*AI14,0)</f>
        <v>0</v>
      </c>
      <c r="AA14" s="97"/>
      <c r="AB14" s="75"/>
      <c r="AC14" s="98">
        <f>+Y14*7</f>
        <v>0</v>
      </c>
      <c r="AD14" s="75"/>
      <c r="AE14" s="99">
        <f>Y14*10/52</f>
        <v>0</v>
      </c>
      <c r="AF14" s="100">
        <f>(AW14*AK14*AM14+AZ14/2*AL14*AM14)/52</f>
        <v>0</v>
      </c>
      <c r="AG14" s="83"/>
      <c r="AH14" s="101">
        <v>43</v>
      </c>
      <c r="AI14" s="73">
        <v>4</v>
      </c>
      <c r="AJ14" s="73">
        <v>35.5</v>
      </c>
      <c r="AK14" s="85"/>
      <c r="AL14" s="86"/>
      <c r="AM14" s="87"/>
      <c r="AN14" s="102" t="e">
        <f>BW14</f>
        <v>#REF!</v>
      </c>
      <c r="AO14" s="89"/>
      <c r="AP14" s="89"/>
      <c r="AQ14" s="89"/>
      <c r="AR14" s="89"/>
      <c r="AS14" s="89"/>
      <c r="AT14" s="89"/>
      <c r="AU14" s="89"/>
      <c r="AV14" s="90">
        <f>((D14*L14)+(E14*M14)+(F14*N14)+(G14*O14))*5+((H14*P14)+(I14*Q14)+(J14*R14)+(K14*S14))*2</f>
        <v>201.82499999999999</v>
      </c>
      <c r="AW14" s="8">
        <f t="array" ref="AW14">+SUM(E14:G14*M14:O14)</f>
        <v>7.0200000000000005</v>
      </c>
      <c r="AX14" s="8">
        <f t="array" ref="AX14">+SUM(H14:K14*P14:S14)*2</f>
        <v>27</v>
      </c>
      <c r="AY14" s="8">
        <f>((E14*AO14)+(F14*AP14)+(G14*AQ14))*5+((I14*AR14)+(J14*AS14)+(K14*AT14))*2</f>
        <v>0</v>
      </c>
      <c r="AZ14" s="8">
        <f>((J14*R14)+(K14*AU14)+(I14*Q14)+(H14*P14))*2</f>
        <v>22.259999999999998</v>
      </c>
      <c r="BA14" s="8" t="e">
        <f>((J14*R14)+(K14*S14)+(I14*Q14)+(H14*P14))*#REF!</f>
        <v>#REF!</v>
      </c>
      <c r="BB14" s="83">
        <v>1</v>
      </c>
      <c r="BC14" s="91">
        <f>AV14/AJ14</f>
        <v>5.6852112676056334</v>
      </c>
      <c r="BD14" s="77">
        <f>+SUM(AK14:AL14)/52*IF(Y14=1,0.5,IF(Y14=2,1.5,IF(Y14=4,3,IF(Y14=5,5,0))))+AV14</f>
        <v>201.82499999999999</v>
      </c>
      <c r="BE14" s="77">
        <f>+SUM(AK14:AL14)/52*AM14*IF(Y14=1,0.5,IF(Y14=2,1.5,IF(Y14=4,3,IF(Y14=5,5,0))))+AG14*AV14</f>
        <v>0</v>
      </c>
      <c r="BF14" s="77">
        <f>+(AW14*AK14*AM14+AX14/2*AL14*AM14)/52+AB14</f>
        <v>0</v>
      </c>
      <c r="BG14" s="77">
        <f>SUM(BD14:BF14)</f>
        <v>201.82499999999999</v>
      </c>
      <c r="BH14" s="92">
        <f>+(BC14-AI14)/AI14*AJ14</f>
        <v>14.956249999999997</v>
      </c>
      <c r="BI14" s="26"/>
      <c r="BJ14" s="6" t="str">
        <f>C14</f>
        <v>Ass leger</v>
      </c>
      <c r="BK14" s="8" t="e">
        <f>TRUNC(CB14*AI14/1000)</f>
        <v>#REF!</v>
      </c>
      <c r="BL14" s="8" t="e">
        <f>TRUNC(#REF!*Z14/1000)</f>
        <v>#REF!</v>
      </c>
      <c r="BM14" s="8" t="e">
        <f>TRUNC(#REF!*AA14/1000)</f>
        <v>#REF!</v>
      </c>
      <c r="BN14" s="8" t="e">
        <f>TRUNC(#REF!*AZ14*#REF!)/1000</f>
        <v>#REF!</v>
      </c>
      <c r="BO14" s="8" t="e">
        <f>IF(AJ14=35.5,TRUNC(BA14*CN14*(1-BB14)/1000),TRUNC(BA14*CN14*(1-BB14)/1000))</f>
        <v>#REF!</v>
      </c>
      <c r="BP14" s="8" t="e">
        <f>TRUNC(AY14*#REF!*CL14)/1000</f>
        <v>#REF!</v>
      </c>
      <c r="BQ14" s="8" t="e">
        <f>TRUNC((SUM(BK14:BP14)+SUM(BS14:BT14))*AG14)</f>
        <v>#REF!</v>
      </c>
      <c r="BR14" s="8"/>
      <c r="BS14" s="8" t="e">
        <f>TRUNC(#REF!*((V14*CG14)+(U14*CF14)+(W14*CI14)+(X14*CK14)))/1000</f>
        <v>#REF!</v>
      </c>
      <c r="BT14" s="8" t="e">
        <f>TRUNC(#REF!*((AC14*CG14)+(AD14*CH14)+(AE14*CI14)+(AF14*CK14))+BR14*AM14*1000)/1000</f>
        <v>#REF!</v>
      </c>
      <c r="BU14" s="8" t="e">
        <f>+BK14*#REF!</f>
        <v>#REF!</v>
      </c>
      <c r="BV14" s="8" t="e">
        <f>SUM(BK14:BU14)*#REF!</f>
        <v>#REF!</v>
      </c>
      <c r="BW14" s="8" t="e">
        <f>TRUNC(SUM(BK14:BV14))</f>
        <v>#REF!</v>
      </c>
      <c r="BX14" s="8" t="e">
        <f>+BK14+BL14+BM14+BN14+BP14+BR14+BS14+BO14</f>
        <v>#REF!</v>
      </c>
      <c r="BY14" s="8" t="e">
        <f>+BW14-BX14-BZ14</f>
        <v>#REF!</v>
      </c>
      <c r="BZ14" s="8" t="e">
        <f>+BU14+BV14</f>
        <v>#REF!</v>
      </c>
      <c r="CA14" s="6">
        <f>AH14</f>
        <v>43</v>
      </c>
      <c r="CB14" s="77" t="e">
        <f>IF($CA14&gt;0,VLOOKUP($CA14,#REF!,2)*#REF!,0)</f>
        <v>#REF!</v>
      </c>
      <c r="CC14" s="77" t="e">
        <f>IF($CA14&gt;0,VLOOKUP($CA14,#REF!,3)*#REF!,0)</f>
        <v>#REF!</v>
      </c>
      <c r="CD14" s="77" t="e">
        <f>IF($CA14&gt;0,VLOOKUP($CA14,#REF!,4)*#REF!,0)</f>
        <v>#REF!</v>
      </c>
      <c r="CE14" s="77" t="e">
        <f>IF($CA14&gt;0,VLOOKUP($CA14,#REF!,5)*#REF!,0)</f>
        <v>#REF!</v>
      </c>
      <c r="CF14" s="77" t="e">
        <f>IF($CA14&gt;0,VLOOKUP($CA14,#REF!,6)*#REF!,0)</f>
        <v>#REF!</v>
      </c>
      <c r="CG14" s="77" t="e">
        <f>IF($CA14&gt;0,VLOOKUP($CA14,#REF!,7)*#REF!,0)</f>
        <v>#REF!</v>
      </c>
      <c r="CH14" s="77" t="e">
        <f>+(CG14+CI14)/2</f>
        <v>#REF!</v>
      </c>
      <c r="CI14" s="77" t="e">
        <f>IF($CA14&gt;0,VLOOKUP($CA14,#REF!,8)*#REF!,0)</f>
        <v>#REF!</v>
      </c>
      <c r="CJ14" s="77" t="e">
        <f>IF($CA14&gt;0,VLOOKUP($CA14,#REF!,9)*#REF!,0)</f>
        <v>#REF!</v>
      </c>
      <c r="CK14" s="77" t="e">
        <f>IF($CA14&gt;0,VLOOKUP($CA14,#REF!,10)*#REF!,0)</f>
        <v>#REF!</v>
      </c>
      <c r="CL14" s="77" t="e">
        <f>IF($CA14&gt;0,VLOOKUP($CA14,#REF!,11)*#REF!,0)</f>
        <v>#REF!</v>
      </c>
      <c r="CM14" s="77" t="e">
        <f>IF($CA14&gt;0,VLOOKUP($CA14,#REF!,12)*#REF!,0)</f>
        <v>#REF!</v>
      </c>
      <c r="CN14" s="77" t="e">
        <f>IF($CA14&gt;0,VLOOKUP($CA14,#REF!,13)*#REF!,0)</f>
        <v>#REF!</v>
      </c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</row>
    <row r="15" spans="1:183" s="64" customFormat="1">
      <c r="B15" s="103"/>
      <c r="C15" s="104" t="s">
        <v>103</v>
      </c>
      <c r="D15" s="105">
        <v>5</v>
      </c>
      <c r="E15" s="106">
        <v>1</v>
      </c>
      <c r="F15" s="106"/>
      <c r="G15" s="106">
        <v>1</v>
      </c>
      <c r="H15" s="105">
        <v>1</v>
      </c>
      <c r="I15" s="106">
        <v>1</v>
      </c>
      <c r="J15" s="106"/>
      <c r="K15" s="136">
        <v>1</v>
      </c>
      <c r="L15" s="107">
        <v>6.84</v>
      </c>
      <c r="M15" s="108">
        <v>5</v>
      </c>
      <c r="N15" s="108"/>
      <c r="O15" s="109">
        <v>13.5</v>
      </c>
      <c r="P15" s="108">
        <v>6.5</v>
      </c>
      <c r="Q15" s="108">
        <v>3</v>
      </c>
      <c r="R15" s="108"/>
      <c r="S15" s="108">
        <v>16.5</v>
      </c>
      <c r="T15" s="110">
        <f>+BH15+AJ15</f>
        <v>45.071428571428569</v>
      </c>
      <c r="U15" s="111">
        <f>+IF(BH15&lt;$D$75,BH15*AI15,$D$75*$AI15)</f>
        <v>0</v>
      </c>
      <c r="V15" s="111">
        <f>+IF(U15&lt;$D$75*$AI15,0,IF(BH15&lt;$D$76,BH15*AI15-U15,($D$76-$D$75)*AI15))</f>
        <v>0</v>
      </c>
      <c r="W15" s="111">
        <f>+IF(V15&lt;($D$76-$D$75)*$AI15,0,IF(BH15&gt;$D$77,($D$77-$D$76)*$AI15,BH15*$AI15-U15-V15))</f>
        <v>0</v>
      </c>
      <c r="X15" s="111">
        <f>+IF($W15&lt;($D$77-$D$76)*$AI15,0,BH15*AI15-W15-U15-V15)</f>
        <v>67.000000000000014</v>
      </c>
      <c r="Y15" s="112"/>
      <c r="Z15" s="113">
        <f>+IF(U15&gt;0,120*AI15,0)</f>
        <v>0</v>
      </c>
      <c r="AA15" s="114"/>
      <c r="AB15" s="111"/>
      <c r="AC15" s="115">
        <f>+Y15*7</f>
        <v>0</v>
      </c>
      <c r="AD15" s="111"/>
      <c r="AE15" s="116">
        <f>Y15*10/52</f>
        <v>0</v>
      </c>
      <c r="AF15" s="117">
        <f>(AW15*AK15*AM15+AZ15/2*AL15*AM15)/52</f>
        <v>0</v>
      </c>
      <c r="AG15" s="118"/>
      <c r="AH15" s="119">
        <v>31</v>
      </c>
      <c r="AI15" s="108">
        <v>7</v>
      </c>
      <c r="AJ15" s="108">
        <v>35.5</v>
      </c>
      <c r="AK15" s="120"/>
      <c r="AL15" s="121"/>
      <c r="AM15" s="122"/>
      <c r="AN15" s="46" t="e">
        <f>BW15</f>
        <v>#REF!</v>
      </c>
      <c r="AO15" s="123"/>
      <c r="AP15" s="123"/>
      <c r="AQ15" s="123"/>
      <c r="AR15" s="123"/>
      <c r="AS15" s="123"/>
      <c r="AT15" s="123"/>
      <c r="AU15" s="123"/>
      <c r="AV15" s="124">
        <f>((D15*L15)+(E15*M15)+(F15*N15)+(G15*O15))*5+((H15*P15)+(I15*Q15)+(J15*R15)+(K15*S15))*2</f>
        <v>315.5</v>
      </c>
      <c r="AW15" s="125">
        <f t="array" ref="AW15">+SUM(E15:G15*M15:O15)</f>
        <v>18.5</v>
      </c>
      <c r="AX15" s="125">
        <f t="array" ref="AX15">+SUM(H15:K15*P15:S15)*2</f>
        <v>52</v>
      </c>
      <c r="AY15" s="125">
        <f>((E15*AO15)+(F15*AP15)+(G15*AQ15))*5+((I15*AR15)+(J15*AS15)+(K15*AT15))*2</f>
        <v>0</v>
      </c>
      <c r="AZ15" s="125">
        <f>((J15*R15)+(K15*AU15)+(I15*Q15)+(H15*P15))*2</f>
        <v>19</v>
      </c>
      <c r="BA15" s="125" t="e">
        <f>((J15*R15)+(K15*S15)+(I15*Q15)+(H15*P15))*#REF!</f>
        <v>#REF!</v>
      </c>
      <c r="BB15" s="118">
        <v>2</v>
      </c>
      <c r="BC15" s="126">
        <f>AV15/AJ15</f>
        <v>8.887323943661972</v>
      </c>
      <c r="BD15" s="113">
        <f>+SUM(AK15:AL15)/52*IF(Y15=1,0.5,IF(Y15=2,1.5,IF(Y15=4,3,IF(Y15=5,5,0))))+AV15</f>
        <v>315.5</v>
      </c>
      <c r="BE15" s="113">
        <f>+SUM(AK15:AL15)/52*AM15*IF(Y15=1,0.5,IF(Y15=2,1.5,IF(Y15=4,3,IF(Y15=5,5,0))))+AG15*AV15</f>
        <v>0</v>
      </c>
      <c r="BF15" s="113">
        <f>+(AW15*AK15*AM15+AX15/2*AL15*AM15)/52+AB15</f>
        <v>0</v>
      </c>
      <c r="BG15" s="113">
        <f>SUM(BD15:BF15)</f>
        <v>315.5</v>
      </c>
      <c r="BH15" s="127">
        <f>+(BC15-AI15)/AI15*AJ15</f>
        <v>9.571428571428573</v>
      </c>
      <c r="BI15" s="104"/>
      <c r="BJ15" s="63" t="str">
        <f>C15</f>
        <v>Turnus leger</v>
      </c>
      <c r="BK15" s="125" t="e">
        <f>TRUNC(CB15*AI15/1000)</f>
        <v>#REF!</v>
      </c>
      <c r="BL15" s="125" t="e">
        <f>TRUNC(#REF!*Z15/1000)</f>
        <v>#REF!</v>
      </c>
      <c r="BM15" s="125" t="e">
        <f>TRUNC(#REF!*AA15/1000)</f>
        <v>#REF!</v>
      </c>
      <c r="BN15" s="125" t="e">
        <f>TRUNC(#REF!*AZ15*#REF!)/1000</f>
        <v>#REF!</v>
      </c>
      <c r="BO15" s="125" t="e">
        <f>IF(AJ15=35.5,TRUNC(BA15*CN15*(1-BB15)/1000),TRUNC(BA15*CN15*(1-BB15)/1000))</f>
        <v>#REF!</v>
      </c>
      <c r="BP15" s="125" t="e">
        <f>TRUNC(AY15*#REF!*CL15)/1000</f>
        <v>#REF!</v>
      </c>
      <c r="BQ15" s="125" t="e">
        <f>TRUNC((SUM(BK15:BP15)+SUM(BS15:BT15))*AG15)</f>
        <v>#REF!</v>
      </c>
      <c r="BR15" s="125"/>
      <c r="BS15" s="125" t="e">
        <f>TRUNC(#REF!*((V15*CG15)+(U15*CF15)+(W15*CI15)+(X15*CK15)))/1000</f>
        <v>#REF!</v>
      </c>
      <c r="BT15" s="125" t="e">
        <f>TRUNC(#REF!*((AC15*CG15)+(AD15*CH15)+(AE15*CI15)+(AF15*CK15))+BR15*AM15*1000)/1000</f>
        <v>#REF!</v>
      </c>
      <c r="BU15" s="125" t="e">
        <f>+BK15*#REF!</f>
        <v>#REF!</v>
      </c>
      <c r="BV15" s="125" t="e">
        <f>SUM(BK15:BU15)*#REF!</f>
        <v>#REF!</v>
      </c>
      <c r="BW15" s="125" t="e">
        <f>TRUNC(SUM(BK15:BV15))</f>
        <v>#REF!</v>
      </c>
      <c r="BX15" s="125" t="e">
        <f>+BK15+BL15+BM15+BN15+BP15+BR15+BS15+BO15</f>
        <v>#REF!</v>
      </c>
      <c r="BY15" s="125" t="e">
        <f>+BW15-BX15-BZ15</f>
        <v>#REF!</v>
      </c>
      <c r="BZ15" s="125" t="e">
        <f>+BU15+BV15</f>
        <v>#REF!</v>
      </c>
      <c r="CA15" s="62">
        <f>AH15</f>
        <v>31</v>
      </c>
      <c r="CB15" s="113" t="e">
        <f>IF($CA15&gt;0,VLOOKUP($CA15,#REF!,2)*#REF!,0)</f>
        <v>#REF!</v>
      </c>
      <c r="CC15" s="113" t="e">
        <f>IF($CA15&gt;0,VLOOKUP($CA15,#REF!,3)*#REF!,0)</f>
        <v>#REF!</v>
      </c>
      <c r="CD15" s="113" t="e">
        <f>IF($CA15&gt;0,VLOOKUP($CA15,#REF!,4)*#REF!,0)</f>
        <v>#REF!</v>
      </c>
      <c r="CE15" s="113" t="e">
        <f>IF($CA15&gt;0,VLOOKUP($CA15,#REF!,5)*#REF!,0)</f>
        <v>#REF!</v>
      </c>
      <c r="CF15" s="113" t="e">
        <f>IF($CA15&gt;0,VLOOKUP($CA15,#REF!,6)*#REF!,0)</f>
        <v>#REF!</v>
      </c>
      <c r="CG15" s="113" t="e">
        <f>IF($CA15&gt;0,VLOOKUP($CA15,#REF!,7)*#REF!,0)</f>
        <v>#REF!</v>
      </c>
      <c r="CH15" s="113" t="e">
        <f>+(CG15+CI15)/2</f>
        <v>#REF!</v>
      </c>
      <c r="CI15" s="113" t="e">
        <f>IF($CA15&gt;0,VLOOKUP($CA15,#REF!,8)*#REF!,0)</f>
        <v>#REF!</v>
      </c>
      <c r="CJ15" s="113" t="e">
        <f>IF($CA15&gt;0,VLOOKUP($CA15,#REF!,9)*#REF!,0)</f>
        <v>#REF!</v>
      </c>
      <c r="CK15" s="113" t="e">
        <f>IF($CA15&gt;0,VLOOKUP($CA15,#REF!,10)*#REF!,0)</f>
        <v>#REF!</v>
      </c>
      <c r="CL15" s="113" t="e">
        <f>IF($CA15&gt;0,VLOOKUP($CA15,#REF!,11)*#REF!,0)</f>
        <v>#REF!</v>
      </c>
      <c r="CM15" s="113" t="e">
        <f>IF($CA15&gt;0,VLOOKUP($CA15,#REF!,12)*#REF!,0)</f>
        <v>#REF!</v>
      </c>
      <c r="CN15" s="113" t="e">
        <f>IF($CA15&gt;0,VLOOKUP($CA15,#REF!,13)*#REF!,0)</f>
        <v>#REF!</v>
      </c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</row>
    <row r="16" spans="1:183" s="3" customFormat="1">
      <c r="B16" s="67"/>
      <c r="C16" s="26"/>
      <c r="D16" s="69"/>
      <c r="E16" s="68"/>
      <c r="F16" s="68"/>
      <c r="G16" s="68"/>
      <c r="H16" s="69"/>
      <c r="I16" s="68"/>
      <c r="J16" s="68"/>
      <c r="K16" s="135"/>
      <c r="L16" s="93"/>
      <c r="M16" s="73"/>
      <c r="N16" s="73"/>
      <c r="O16" s="94"/>
      <c r="P16" s="73"/>
      <c r="Q16" s="73"/>
      <c r="R16" s="73"/>
      <c r="S16" s="73"/>
      <c r="T16" s="95"/>
      <c r="U16" s="75"/>
      <c r="V16" s="75"/>
      <c r="W16" s="75"/>
      <c r="X16" s="75"/>
      <c r="Y16" s="96"/>
      <c r="Z16" s="77"/>
      <c r="AA16" s="137"/>
      <c r="AB16" s="75"/>
      <c r="AC16" s="98"/>
      <c r="AD16" s="75"/>
      <c r="AE16" s="99"/>
      <c r="AF16" s="99"/>
      <c r="AG16" s="83"/>
      <c r="AH16" s="101"/>
      <c r="AI16" s="73"/>
      <c r="AJ16" s="73"/>
      <c r="AK16" s="85"/>
      <c r="AL16" s="138"/>
      <c r="AM16" s="87"/>
      <c r="AN16" s="139"/>
      <c r="AO16" s="89"/>
      <c r="AP16" s="89"/>
      <c r="AQ16" s="89"/>
      <c r="AR16" s="89"/>
      <c r="AS16" s="89"/>
      <c r="AT16" s="89"/>
      <c r="AU16" s="89"/>
      <c r="AV16" s="8"/>
      <c r="AW16" s="8"/>
      <c r="AX16" s="8"/>
      <c r="AY16" s="8"/>
      <c r="AZ16" s="8"/>
      <c r="BA16" s="8"/>
      <c r="BB16" s="83"/>
      <c r="BC16" s="91"/>
      <c r="BD16" s="77"/>
      <c r="BE16" s="77"/>
      <c r="BF16" s="77"/>
      <c r="BG16" s="77"/>
      <c r="BH16" s="92"/>
      <c r="BI16" s="6"/>
      <c r="BJ16" s="6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4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</row>
    <row r="17" spans="1:183" s="64" customFormat="1">
      <c r="A17" s="881" t="s">
        <v>105</v>
      </c>
      <c r="B17" s="103" t="s">
        <v>106</v>
      </c>
      <c r="C17" s="104" t="s">
        <v>107</v>
      </c>
      <c r="D17" s="105">
        <v>9.5</v>
      </c>
      <c r="E17" s="106">
        <v>1</v>
      </c>
      <c r="F17" s="106">
        <v>1</v>
      </c>
      <c r="G17" s="106">
        <v>0.25</v>
      </c>
      <c r="H17" s="105">
        <v>1.286</v>
      </c>
      <c r="I17" s="106">
        <v>1.25</v>
      </c>
      <c r="J17" s="106"/>
      <c r="K17" s="136">
        <v>1.2250000000000001</v>
      </c>
      <c r="L17" s="107">
        <v>7.5</v>
      </c>
      <c r="M17" s="108">
        <v>7.25</v>
      </c>
      <c r="N17" s="108">
        <v>6.25</v>
      </c>
      <c r="O17" s="109">
        <v>10.45</v>
      </c>
      <c r="P17" s="108">
        <v>7</v>
      </c>
      <c r="Q17" s="108">
        <v>7</v>
      </c>
      <c r="R17" s="108"/>
      <c r="S17" s="108">
        <v>10</v>
      </c>
      <c r="T17" s="140">
        <f>+SUM(H17:K17)*3/AI17</f>
        <v>0.8062262424859078</v>
      </c>
      <c r="U17" s="111"/>
      <c r="V17" s="111"/>
      <c r="W17" s="111"/>
      <c r="X17" s="113"/>
      <c r="Y17" s="141"/>
      <c r="Z17" s="113"/>
      <c r="AA17" s="142"/>
      <c r="AB17" s="115"/>
      <c r="AC17" s="143"/>
      <c r="AD17" s="111"/>
      <c r="AE17" s="113"/>
      <c r="AF17" s="113"/>
      <c r="AG17" s="144">
        <v>0</v>
      </c>
      <c r="AH17" s="145">
        <v>36</v>
      </c>
      <c r="AI17" s="146">
        <f>+BC17</f>
        <v>13.994830985915494</v>
      </c>
      <c r="AJ17" s="123">
        <v>35.5</v>
      </c>
      <c r="AK17" s="104"/>
      <c r="AL17" s="63"/>
      <c r="AM17" s="147"/>
      <c r="AN17" s="148" t="e">
        <f>BW17</f>
        <v>#REF!</v>
      </c>
      <c r="AO17" s="149">
        <v>6</v>
      </c>
      <c r="AP17" s="123">
        <v>4</v>
      </c>
      <c r="AQ17" s="123">
        <v>9</v>
      </c>
      <c r="AR17" s="123">
        <v>6</v>
      </c>
      <c r="AS17" s="123"/>
      <c r="AT17" s="123">
        <v>7</v>
      </c>
      <c r="AU17" s="123">
        <v>9</v>
      </c>
      <c r="AV17" s="150">
        <f>((D17*L17)+(E17*M17)+(F17*N17)+(G17*O17))*5+((H17*P17)+(I17*Q17)+(J17*R17)+(K17*S17))*2</f>
        <v>496.81650000000002</v>
      </c>
      <c r="AW17" s="125">
        <f t="array" ref="AW17">+SUM(E17:G17*M17:O17)</f>
        <v>16.112500000000001</v>
      </c>
      <c r="AX17" s="125">
        <f t="array" ref="AX17">+SUM(H17:K17*P17:S17)*2</f>
        <v>60.004000000000005</v>
      </c>
      <c r="AY17" s="125">
        <f>((E17*AO17)+(F17*AP17)+(G17*AQ17))*5+((I17*AR17)+(J17*AS17)+(K17*AT17))*2</f>
        <v>93.4</v>
      </c>
      <c r="AZ17" s="125">
        <f>((J17*R17)+(K17*AU17)+(I17*Q17)+(H17*P17))*2</f>
        <v>57.554000000000002</v>
      </c>
      <c r="BA17" s="125" t="e">
        <f>((J17*R17)+(K17*S17)+(I17*Q17)+(H17*P17))*#REF!</f>
        <v>#REF!</v>
      </c>
      <c r="BB17" s="118">
        <v>0</v>
      </c>
      <c r="BC17" s="126">
        <f>AV17/AJ17</f>
        <v>13.994830985915494</v>
      </c>
      <c r="BD17" s="113">
        <f>+AV17</f>
        <v>496.81650000000002</v>
      </c>
      <c r="BE17" s="113">
        <f>+AG17*BD17</f>
        <v>0</v>
      </c>
      <c r="BF17" s="113">
        <f>+(AW17*AK17*AM17+AX17/2*AL17*AM17)/52+AB17+Y17*7*(AK17+AL17)/374</f>
        <v>0</v>
      </c>
      <c r="BG17" s="113">
        <f>SUM(BD17:BF17)</f>
        <v>496.81650000000002</v>
      </c>
      <c r="BH17" s="127">
        <f>+(BC17-AI17)/AI17*AJ17</f>
        <v>0</v>
      </c>
      <c r="BI17" s="62"/>
      <c r="BJ17" s="63" t="str">
        <f>C17</f>
        <v>Sy pl</v>
      </c>
      <c r="BK17" s="125" t="e">
        <f>TRUNC(CB17*AI17/1000)</f>
        <v>#REF!</v>
      </c>
      <c r="BL17" s="125" t="e">
        <f>TRUNC(#REF!*Z17/1000)</f>
        <v>#REF!</v>
      </c>
      <c r="BM17" s="125" t="e">
        <f>TRUNC(#REF!*AA17/1000)</f>
        <v>#REF!</v>
      </c>
      <c r="BN17" s="125" t="e">
        <f>TRUNC(#REF!*AZ17*#REF!)/1000</f>
        <v>#REF!</v>
      </c>
      <c r="BO17" s="125" t="e">
        <f>IF(AJ17=35.5,TRUNC(BA17*CN17*(1-BB17)/1000),TRUNC(BA17*CN17*(1-BB17)/1000))</f>
        <v>#REF!</v>
      </c>
      <c r="BP17" s="125" t="e">
        <f>TRUNC(AY17*#REF!*CL17)/1000</f>
        <v>#REF!</v>
      </c>
      <c r="BQ17" s="125" t="e">
        <f>TRUNC((SUM(BK17:BP17)+SUM(BS17:BT17))*AG17)</f>
        <v>#REF!</v>
      </c>
      <c r="BR17" s="125"/>
      <c r="BS17" s="125" t="e">
        <f>TRUNC(#REF!*((V17*CG17)+(U17*CF17)+(W17*CI17)+(X17*CK17)))/1000</f>
        <v>#REF!</v>
      </c>
      <c r="BT17" s="125" t="e">
        <f>TRUNC(#REF!*((AC17*CG17)+(AD17*CH17)+(AE17*CI17)+(AF17*CK17))/1000)</f>
        <v>#REF!</v>
      </c>
      <c r="BU17" s="125" t="e">
        <f>+BK17*#REF!</f>
        <v>#REF!</v>
      </c>
      <c r="BV17" s="125" t="e">
        <f>SUM(BK17:BU17)*#REF!</f>
        <v>#REF!</v>
      </c>
      <c r="BW17" s="125" t="e">
        <f>TRUNC(SUM(BK17:BV17))</f>
        <v>#REF!</v>
      </c>
      <c r="BX17" s="125" t="e">
        <f>+BK17+BL17+BM17+BN17+BP17+BR17+BS17+BO17</f>
        <v>#REF!</v>
      </c>
      <c r="BY17" s="125" t="e">
        <f>+BW17-BX17-BZ17</f>
        <v>#REF!</v>
      </c>
      <c r="BZ17" s="125" t="e">
        <f>+BU17+BV17</f>
        <v>#REF!</v>
      </c>
      <c r="CA17" s="62">
        <f>AH17</f>
        <v>36</v>
      </c>
      <c r="CB17" s="113" t="e">
        <f>IF($CA17&gt;0,VLOOKUP($CA17,#REF!,2)*#REF!,0)</f>
        <v>#REF!</v>
      </c>
      <c r="CC17" s="113" t="e">
        <f>IF($CA17&gt;0,VLOOKUP($CA17,#REF!,3)*#REF!,0)</f>
        <v>#REF!</v>
      </c>
      <c r="CD17" s="113" t="e">
        <f>IF($CA17&gt;0,VLOOKUP($CA17,#REF!,4)*#REF!,0)</f>
        <v>#REF!</v>
      </c>
      <c r="CE17" s="113" t="e">
        <f>IF($CA17&gt;0,VLOOKUP($CA17,#REF!,5)*#REF!,0)</f>
        <v>#REF!</v>
      </c>
      <c r="CF17" s="113" t="e">
        <f>IF($CA17&gt;0,VLOOKUP($CA17,#REF!,6)*#REF!,0)</f>
        <v>#REF!</v>
      </c>
      <c r="CG17" s="113" t="e">
        <f>IF($CA17&gt;0,VLOOKUP($CA17,#REF!,7)*#REF!,0)</f>
        <v>#REF!</v>
      </c>
      <c r="CH17" s="113" t="e">
        <f>+(CG17+CI17)/2</f>
        <v>#REF!</v>
      </c>
      <c r="CI17" s="113" t="e">
        <f>IF($CA17&gt;0,VLOOKUP($CA17,#REF!,8)*#REF!,0)</f>
        <v>#REF!</v>
      </c>
      <c r="CJ17" s="113" t="e">
        <f>IF($CA17&gt;0,VLOOKUP($CA17,#REF!,9)*#REF!,0)</f>
        <v>#REF!</v>
      </c>
      <c r="CK17" s="113" t="e">
        <f>IF($CA17&gt;0,VLOOKUP($CA17,#REF!,10)*#REF!,0)</f>
        <v>#REF!</v>
      </c>
      <c r="CL17" s="113" t="e">
        <f>IF($CA17&gt;0,VLOOKUP($CA17,#REF!,11)*#REF!,0)</f>
        <v>#REF!</v>
      </c>
      <c r="CM17" s="113" t="e">
        <f>IF($CA17&gt;0,VLOOKUP($CA17,#REF!,12)*#REF!,0)</f>
        <v>#REF!</v>
      </c>
      <c r="CN17" s="113" t="e">
        <f>IF($CA17&gt;0,VLOOKUP($CA17,#REF!,13)*#REF!,0)</f>
        <v>#REF!</v>
      </c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</row>
    <row r="18" spans="1:183">
      <c r="A18" s="881"/>
      <c r="B18" s="67"/>
      <c r="C18" s="26"/>
      <c r="D18" s="69"/>
      <c r="E18" s="68"/>
      <c r="F18" s="68"/>
      <c r="G18" s="68"/>
      <c r="H18" s="69"/>
      <c r="I18" s="68"/>
      <c r="J18" s="68"/>
      <c r="K18" s="135"/>
      <c r="L18" s="93"/>
      <c r="M18" s="73"/>
      <c r="N18" s="73"/>
      <c r="O18" s="94"/>
      <c r="P18" s="73"/>
      <c r="Q18" s="73"/>
      <c r="R18" s="73"/>
      <c r="S18" s="73"/>
      <c r="T18" s="151"/>
      <c r="U18" s="75"/>
      <c r="V18" s="75"/>
      <c r="W18" s="75"/>
      <c r="X18" s="77"/>
      <c r="Y18" s="152"/>
      <c r="Z18" s="77"/>
      <c r="AA18" s="137"/>
      <c r="AB18" s="98"/>
      <c r="AC18" s="153"/>
      <c r="AD18" s="75"/>
      <c r="AE18" s="77"/>
      <c r="AF18" s="77"/>
      <c r="AG18" s="154"/>
      <c r="AH18" s="155"/>
      <c r="AI18" s="156"/>
      <c r="AJ18" s="89"/>
      <c r="AK18" s="26"/>
      <c r="AL18" s="6"/>
      <c r="AM18" s="157"/>
      <c r="AN18" s="139"/>
      <c r="AO18" s="158"/>
      <c r="AP18" s="159"/>
      <c r="AQ18" s="159"/>
      <c r="AR18" s="159"/>
      <c r="AS18" s="159"/>
      <c r="AT18" s="159"/>
      <c r="AU18" s="159"/>
      <c r="AV18" s="160"/>
      <c r="AW18" s="8"/>
      <c r="AX18" s="8"/>
      <c r="AY18" s="161"/>
      <c r="AZ18" s="161"/>
      <c r="BA18" s="161"/>
      <c r="BB18" s="162"/>
      <c r="BC18" s="163"/>
      <c r="BD18" s="164"/>
      <c r="BE18" s="164"/>
      <c r="BF18" s="164"/>
      <c r="BG18" s="164"/>
      <c r="BH18" s="165"/>
      <c r="BI18" s="4"/>
      <c r="BJ18" s="5"/>
      <c r="BK18" s="161"/>
      <c r="BL18" s="161"/>
      <c r="BM18" s="161"/>
      <c r="BN18" s="161"/>
      <c r="BO18" s="161"/>
      <c r="BP18" s="161"/>
      <c r="BQ18" s="161"/>
      <c r="BR18" s="161"/>
      <c r="BS18" s="161"/>
      <c r="BT18" s="161"/>
      <c r="BU18" s="161"/>
      <c r="BV18" s="161"/>
      <c r="BW18" s="161"/>
      <c r="BX18" s="161"/>
      <c r="BY18" s="161"/>
      <c r="BZ18" s="161"/>
      <c r="CA18" s="4"/>
      <c r="CB18" s="164"/>
      <c r="CC18" s="164"/>
      <c r="CD18" s="164"/>
      <c r="CE18" s="164"/>
      <c r="CF18" s="164"/>
      <c r="CG18" s="164"/>
      <c r="CH18" s="77"/>
      <c r="CI18" s="164"/>
      <c r="CJ18" s="164"/>
      <c r="CK18" s="164"/>
      <c r="CL18" s="164"/>
      <c r="CM18" s="164"/>
      <c r="CN18" s="164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</row>
    <row r="19" spans="1:183" s="3" customFormat="1">
      <c r="A19" s="881"/>
      <c r="B19" s="67" t="s">
        <v>99</v>
      </c>
      <c r="C19" s="26" t="s">
        <v>100</v>
      </c>
      <c r="D19" s="68">
        <v>1.72</v>
      </c>
      <c r="E19" s="68">
        <v>0.66600000000000004</v>
      </c>
      <c r="F19" s="68"/>
      <c r="G19" s="68">
        <v>0.66600000000000004</v>
      </c>
      <c r="H19" s="69">
        <v>0.66600000000000004</v>
      </c>
      <c r="I19" s="68">
        <v>0.66600000000000004</v>
      </c>
      <c r="J19" s="68"/>
      <c r="K19" s="135">
        <v>0.66600000000000004</v>
      </c>
      <c r="L19" s="93">
        <v>8</v>
      </c>
      <c r="M19" s="73">
        <v>3</v>
      </c>
      <c r="N19" s="73"/>
      <c r="O19" s="94">
        <v>2.5</v>
      </c>
      <c r="P19" s="73">
        <v>4.3</v>
      </c>
      <c r="Q19" s="73">
        <v>2.2999999999999998</v>
      </c>
      <c r="R19" s="73"/>
      <c r="S19" s="73">
        <v>2.5</v>
      </c>
      <c r="T19" s="95">
        <f>+BH19+AJ19</f>
        <v>49.618099999999998</v>
      </c>
      <c r="U19" s="75">
        <f>+IF(BH19&lt;$D$75,BH19*AI19,$D$75*$AI19)</f>
        <v>0</v>
      </c>
      <c r="V19" s="75">
        <f>+IF(U19&lt;$D$75*$AI19,0,IF(BH19&lt;$D$76,BH19*AI19-U19,($D$76-$D$75)*AI19))</f>
        <v>0</v>
      </c>
      <c r="W19" s="75">
        <f>+IF(V19&lt;($D$76-$D$75)*$AI19,0,IF(BH19&gt;$D$77,($D$77-$D$76)*$AI19,BH19*$AI19-U19-V19))</f>
        <v>0</v>
      </c>
      <c r="X19" s="75">
        <f>+IF($W19&lt;($D$77-$D$76)*$AI19,0,BH19*AI19-W19-U19-V19)</f>
        <v>28.23619999999999</v>
      </c>
      <c r="Y19" s="96"/>
      <c r="Z19" s="77">
        <f>+IF(U19&gt;0,120*AI19,0)</f>
        <v>0</v>
      </c>
      <c r="AA19" s="78"/>
      <c r="AB19" s="75"/>
      <c r="AC19" s="79"/>
      <c r="AD19" s="80"/>
      <c r="AE19" s="81"/>
      <c r="AF19" s="82">
        <f>(AW19*AK19*AM19+AZ19/2*AL19*AM19)/52</f>
        <v>0</v>
      </c>
      <c r="AG19" s="83"/>
      <c r="AH19" s="84">
        <v>56</v>
      </c>
      <c r="AI19" s="73">
        <v>2</v>
      </c>
      <c r="AJ19" s="73">
        <v>35.5</v>
      </c>
      <c r="AK19" s="85"/>
      <c r="AL19" s="86"/>
      <c r="AM19" s="87"/>
      <c r="AN19" s="88" t="e">
        <f>BW19</f>
        <v>#REF!</v>
      </c>
      <c r="AO19" s="89"/>
      <c r="AP19" s="89"/>
      <c r="AQ19" s="89"/>
      <c r="AR19" s="89"/>
      <c r="AS19" s="89"/>
      <c r="AT19" s="89"/>
      <c r="AU19" s="89"/>
      <c r="AV19" s="90">
        <f>((D19*L19)+(E19*M19)+(F19*N19)+(G19*O19))*5+((H19*P19)+(I19*Q19)+(J19*R19)+(K19*S19))*2</f>
        <v>99.236199999999997</v>
      </c>
      <c r="AW19" s="8">
        <f t="array" ref="AW19">+SUM(E19:G19*M19:O19)</f>
        <v>3.6630000000000003</v>
      </c>
      <c r="AX19" s="8">
        <f t="array" ref="AX19">+SUM(H19:K19*P19:S19)*2</f>
        <v>12.1212</v>
      </c>
      <c r="AY19" s="8">
        <f>((E19*AO19)+(F19*AP19)+(G19*AQ19))*5+((I19*AR19)+(J19*AS19)+(K19*AT19))*2</f>
        <v>0</v>
      </c>
      <c r="AZ19" s="8">
        <f>((J19*R19)+(K19*AU19)+(I19*Q19)+(H19*P19))*2</f>
        <v>8.7911999999999999</v>
      </c>
      <c r="BA19" s="8" t="e">
        <f>((J19*R19)+(K19*S19)+(I19*Q19)+(H19*P19))*#REF!</f>
        <v>#REF!</v>
      </c>
      <c r="BB19" s="83">
        <v>0</v>
      </c>
      <c r="BC19" s="91">
        <f>AV19/AJ19</f>
        <v>2.7953859154929575</v>
      </c>
      <c r="BD19" s="77">
        <f>+SUM(AK19:AL19)/52*IF(Y19=1,0.5,IF(Y19=2,1.5,IF(Y19=4,3,IF(Y19=5,5,0))))+AV19</f>
        <v>99.236199999999997</v>
      </c>
      <c r="BE19" s="77">
        <f>+SUM(AK19:AL19)/52*AM19*IF(Y19=1,0.5,IF(Y19=2,1.5,IF(Y19=4,3,IF(Y19=5,5,0))))+AG19*AV19</f>
        <v>0</v>
      </c>
      <c r="BF19" s="77">
        <f>+(AW19*AK19*AM19+AX19/2*AL19*AM19)/52+AB19</f>
        <v>0</v>
      </c>
      <c r="BG19" s="77">
        <f>SUM(BD19:BF19)</f>
        <v>99.236199999999997</v>
      </c>
      <c r="BH19" s="92">
        <f>+(BC19-AI19)/AI19*AJ19</f>
        <v>14.118099999999995</v>
      </c>
      <c r="BI19" s="26"/>
      <c r="BJ19" s="6" t="str">
        <f>C19</f>
        <v xml:space="preserve"> overlege</v>
      </c>
      <c r="BK19" s="8" t="e">
        <f>TRUNC(CB19*AI19/1000)</f>
        <v>#REF!</v>
      </c>
      <c r="BL19" s="8" t="e">
        <f>TRUNC(#REF!*Z19/1000)</f>
        <v>#REF!</v>
      </c>
      <c r="BM19" s="8" t="e">
        <f>TRUNC(#REF!*AA19/1000)</f>
        <v>#REF!</v>
      </c>
      <c r="BN19" s="8" t="e">
        <f>TRUNC(#REF!*AZ19*#REF!)/1000</f>
        <v>#REF!</v>
      </c>
      <c r="BO19" s="8" t="e">
        <f>IF(AJ19=35.5,TRUNC(BA19*CN19*(1-BB19)/1000),TRUNC(BA19*CN19*(1-BB19)/1000))</f>
        <v>#REF!</v>
      </c>
      <c r="BP19" s="8" t="e">
        <f>TRUNC(AY19*#REF!*CL19)/1000</f>
        <v>#REF!</v>
      </c>
      <c r="BQ19" s="8" t="e">
        <f>TRUNC((SUM(BK19:BP19)+SUM(BS19:BT19))*AG19)</f>
        <v>#REF!</v>
      </c>
      <c r="BR19" s="8" t="e">
        <f>TRUNC(IF(Y19=#REF!,(#REF!*AK19+#REF!*(AL19+#REF!))/1000,IF(Y19=#REF!,(#REF!*AK19+#REF!*(AL19+#REF!))/1000,IF(Y19=#REF!,(#REF!*AK19+#REF!*(AL19+#REF!))/1000,IF(Y19=#REF!,(#REF!*AK19+#REF!*(AL19+#REF!))/1000,0)))))*(1+AM19)</f>
        <v>#REF!</v>
      </c>
      <c r="BS19" s="8" t="e">
        <f>TRUNC(#REF!*((V19*CG19)+(U19*CF19)+(W19*CI19)+(X19*CK19)))/1000</f>
        <v>#REF!</v>
      </c>
      <c r="BT19" s="8" t="e">
        <f>TRUNC(#REF!*((AC19*CG19)+(AD19*CH19)+(AE19*CI19)+(AF19*CK19))+BR19*AM19*1000)/1000</f>
        <v>#REF!</v>
      </c>
      <c r="BU19" s="8" t="e">
        <f>+BK19*#REF!</f>
        <v>#REF!</v>
      </c>
      <c r="BV19" s="8" t="e">
        <f>SUM(BK19:BU19)*#REF!</f>
        <v>#REF!</v>
      </c>
      <c r="BW19" s="8" t="e">
        <f>TRUNC(SUM(BK19:BV19))</f>
        <v>#REF!</v>
      </c>
      <c r="BX19" s="8" t="e">
        <f>+BK19+BL19+BM19+BN19+BP19+BR19+BS19+BO19</f>
        <v>#REF!</v>
      </c>
      <c r="BY19" s="8" t="e">
        <f>+BW19-BX19-BZ19</f>
        <v>#REF!</v>
      </c>
      <c r="BZ19" s="8" t="e">
        <f>+BU19+BV19</f>
        <v>#REF!</v>
      </c>
      <c r="CA19" s="6">
        <f>AH19</f>
        <v>56</v>
      </c>
      <c r="CB19" s="77" t="e">
        <f>IF($CA19&gt;0,VLOOKUP($CA19,#REF!,2)*#REF!,0)</f>
        <v>#REF!</v>
      </c>
      <c r="CC19" s="77" t="e">
        <f>IF($CA19&gt;0,VLOOKUP($CA19,#REF!,3)*#REF!,0)</f>
        <v>#REF!</v>
      </c>
      <c r="CD19" s="77" t="e">
        <f>IF($CA19&gt;0,VLOOKUP($CA19,#REF!,4)*#REF!,0)</f>
        <v>#REF!</v>
      </c>
      <c r="CE19" s="77" t="e">
        <f>IF($CA19&gt;0,VLOOKUP($CA19,#REF!,5)*#REF!,0)</f>
        <v>#REF!</v>
      </c>
      <c r="CF19" s="77" t="e">
        <f>IF($CA19&gt;0,VLOOKUP($CA19,#REF!,6)*#REF!,0)</f>
        <v>#REF!</v>
      </c>
      <c r="CG19" s="77" t="e">
        <f>IF($CA19&gt;0,VLOOKUP($CA19,#REF!,7)*#REF!,0)</f>
        <v>#REF!</v>
      </c>
      <c r="CH19" s="77" t="e">
        <f>+(CG19+CI19)/2</f>
        <v>#REF!</v>
      </c>
      <c r="CI19" s="77" t="e">
        <f>IF($CA19&gt;0,VLOOKUP($CA19,#REF!,8)*#REF!,0)</f>
        <v>#REF!</v>
      </c>
      <c r="CJ19" s="77" t="e">
        <f>IF($CA19&gt;0,VLOOKUP($CA19,#REF!,9)*#REF!,0)</f>
        <v>#REF!</v>
      </c>
      <c r="CK19" s="77" t="e">
        <f>IF($CA19&gt;0,VLOOKUP($CA19,#REF!,10)*#REF!,0)</f>
        <v>#REF!</v>
      </c>
      <c r="CL19" s="77" t="e">
        <f>IF($CA19&gt;0,VLOOKUP($CA19,#REF!,11)*#REF!,0)</f>
        <v>#REF!</v>
      </c>
      <c r="CM19" s="77" t="e">
        <f>IF($CA19&gt;0,VLOOKUP($CA19,#REF!,12)*#REF!,0)</f>
        <v>#REF!</v>
      </c>
      <c r="CN19" s="77" t="e">
        <f>IF($CA19&gt;0,VLOOKUP($CA19,#REF!,13)*#REF!,0)</f>
        <v>#REF!</v>
      </c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</row>
    <row r="20" spans="1:183" s="3" customFormat="1">
      <c r="A20" s="881"/>
      <c r="B20" s="67"/>
      <c r="C20" s="26" t="s">
        <v>102</v>
      </c>
      <c r="D20" s="69">
        <v>0.86</v>
      </c>
      <c r="E20" s="68">
        <v>0.33300000000000002</v>
      </c>
      <c r="F20" s="68"/>
      <c r="G20" s="68">
        <v>0.33300000000000002</v>
      </c>
      <c r="H20" s="69">
        <v>0.33300000000000002</v>
      </c>
      <c r="I20" s="68">
        <v>0.33300000000000002</v>
      </c>
      <c r="J20" s="68"/>
      <c r="K20" s="135">
        <v>0.33300000000000002</v>
      </c>
      <c r="L20" s="93">
        <v>8</v>
      </c>
      <c r="M20" s="73">
        <v>3</v>
      </c>
      <c r="N20" s="73"/>
      <c r="O20" s="94">
        <v>2.5</v>
      </c>
      <c r="P20" s="73">
        <v>4.25</v>
      </c>
      <c r="Q20" s="73">
        <v>2.25</v>
      </c>
      <c r="R20" s="73"/>
      <c r="S20" s="73">
        <v>2.5</v>
      </c>
      <c r="T20" s="95">
        <f>+BH20+AJ20</f>
        <v>49.551500000000004</v>
      </c>
      <c r="U20" s="75">
        <f>+IF(BH20&lt;$D$75,BH20*AI20,$D$75*$AI20)</f>
        <v>0</v>
      </c>
      <c r="V20" s="75">
        <f>+IF(U20&lt;$D$75*$AI20,0,IF(BH20&lt;$D$76,BH20*AI20-U20,($D$76-$D$75)*AI20))</f>
        <v>0</v>
      </c>
      <c r="W20" s="75">
        <f>+IF(V20&lt;($D$76-$D$75)*$AI20,0,IF(BH20&gt;$D$77,($D$77-$D$76)*$AI20,BH20*$AI20-U20-V20))</f>
        <v>0</v>
      </c>
      <c r="X20" s="75">
        <f>+IF($W20&lt;($D$77-$D$76)*$AI20,0,BH20*AI20-W20-U20-V20)</f>
        <v>14.051500000000001</v>
      </c>
      <c r="Y20" s="96"/>
      <c r="Z20" s="77">
        <f>+IF(U20&gt;0,120*AI20,0)</f>
        <v>0</v>
      </c>
      <c r="AA20" s="97"/>
      <c r="AB20" s="75"/>
      <c r="AC20" s="98">
        <f>+Y20*7</f>
        <v>0</v>
      </c>
      <c r="AD20" s="75"/>
      <c r="AE20" s="99">
        <f>Y20*10/52</f>
        <v>0</v>
      </c>
      <c r="AF20" s="100">
        <f>(AW20*AK20*AM20+AZ20/2*AL20*AM20)/52</f>
        <v>0</v>
      </c>
      <c r="AG20" s="83"/>
      <c r="AH20" s="101">
        <v>49</v>
      </c>
      <c r="AI20" s="73">
        <v>1</v>
      </c>
      <c r="AJ20" s="73">
        <v>35.5</v>
      </c>
      <c r="AK20" s="85"/>
      <c r="AL20" s="86"/>
      <c r="AM20" s="87"/>
      <c r="AN20" s="102" t="e">
        <f>BW20</f>
        <v>#REF!</v>
      </c>
      <c r="AO20" s="89"/>
      <c r="AP20" s="89"/>
      <c r="AQ20" s="89"/>
      <c r="AR20" s="89"/>
      <c r="AS20" s="89"/>
      <c r="AT20" s="89"/>
      <c r="AU20" s="89"/>
      <c r="AV20" s="90">
        <f>((D20*L20)+(E20*M20)+(F20*N20)+(G20*O20))*5+((H20*P20)+(I20*Q20)+(J20*R20)+(K20*S20))*2</f>
        <v>49.551499999999997</v>
      </c>
      <c r="AW20" s="8">
        <f t="array" ref="AW20">+SUM(E20:G20*M20:O20)</f>
        <v>1.8315000000000001</v>
      </c>
      <c r="AX20" s="8">
        <f t="array" ref="AX20">+SUM(H20:K20*P20:S20)*2</f>
        <v>5.9940000000000007</v>
      </c>
      <c r="AY20" s="8">
        <f>((E20*AO20)+(F20*AP20)+(G20*AQ20))*5+((I20*AR20)+(J20*AS20)+(K20*AT20))*2</f>
        <v>0</v>
      </c>
      <c r="AZ20" s="8">
        <f>((J20*R20)+(K20*AU20)+(I20*Q20)+(H20*P20))*2</f>
        <v>4.3290000000000006</v>
      </c>
      <c r="BA20" s="8" t="e">
        <f>((J20*R20)+(K20*S20)+(I20*Q20)+(H20*P20))*#REF!</f>
        <v>#REF!</v>
      </c>
      <c r="BB20" s="83">
        <v>1</v>
      </c>
      <c r="BC20" s="91">
        <f>AV20/AJ20</f>
        <v>1.3958169014084507</v>
      </c>
      <c r="BD20" s="77">
        <f>+SUM(AK20:AL20)/52*IF(Y20=1,0.5,IF(Y20=2,1.5,IF(Y20=4,3,IF(Y20=5,5,0))))+AV20</f>
        <v>49.551499999999997</v>
      </c>
      <c r="BE20" s="77">
        <f>+SUM(AK20:AL20)/52*AM20*IF(Y20=1,0.5,IF(Y20=2,1.5,IF(Y20=4,3,IF(Y20=5,5,0))))+AG20*AV20</f>
        <v>0</v>
      </c>
      <c r="BF20" s="77">
        <f>+(AW20*AK20*AM20+AX20/2*AL20*AM20)/52+AB20</f>
        <v>0</v>
      </c>
      <c r="BG20" s="77">
        <f>SUM(BD20:BF20)</f>
        <v>49.551499999999997</v>
      </c>
      <c r="BH20" s="92">
        <f>+(BC20-AI20)/AI20*AJ20</f>
        <v>14.051500000000001</v>
      </c>
      <c r="BI20" s="26"/>
      <c r="BJ20" s="6" t="str">
        <f>C20</f>
        <v>Ass leger</v>
      </c>
      <c r="BK20" s="8" t="e">
        <f>TRUNC(CB20*AI20/1000)</f>
        <v>#REF!</v>
      </c>
      <c r="BL20" s="8" t="e">
        <f>TRUNC(#REF!*Z20/1000)</f>
        <v>#REF!</v>
      </c>
      <c r="BM20" s="8" t="e">
        <f>TRUNC(#REF!*AA20/1000)</f>
        <v>#REF!</v>
      </c>
      <c r="BN20" s="8" t="e">
        <f>TRUNC(#REF!*AZ20*#REF!)/1000</f>
        <v>#REF!</v>
      </c>
      <c r="BO20" s="8" t="e">
        <f>IF(AJ20=35.5,TRUNC(BA20*CN20*(1-BB20)/1000),TRUNC(BA20*CN20*(1-BB20)/1000))</f>
        <v>#REF!</v>
      </c>
      <c r="BP20" s="8" t="e">
        <f>TRUNC(AY20*#REF!*CL20)/1000</f>
        <v>#REF!</v>
      </c>
      <c r="BQ20" s="8" t="e">
        <f>TRUNC((SUM(BK20:BP20)+SUM(BS20:BT20))*AG20)</f>
        <v>#REF!</v>
      </c>
      <c r="BR20" s="8"/>
      <c r="BS20" s="8" t="e">
        <f>TRUNC(#REF!*((V20*CG20)+(U20*CF20)+(W20*CI20)+(X20*CK20)))/1000</f>
        <v>#REF!</v>
      </c>
      <c r="BT20" s="8" t="e">
        <f>TRUNC(#REF!*((AC20*CG20)+(AD20*CH20)+(AE20*CI20)+(AF20*CK20))+BR20*AM20*1000)/1000</f>
        <v>#REF!</v>
      </c>
      <c r="BU20" s="8" t="e">
        <f>+BK20*#REF!</f>
        <v>#REF!</v>
      </c>
      <c r="BV20" s="8" t="e">
        <f>SUM(BK20:BU20)*#REF!</f>
        <v>#REF!</v>
      </c>
      <c r="BW20" s="8" t="e">
        <f>TRUNC(SUM(BK20:BV20))</f>
        <v>#REF!</v>
      </c>
      <c r="BX20" s="8" t="e">
        <f>+BK20+BL20+BM20+BN20+BP20+BR20+BS20+BO20</f>
        <v>#REF!</v>
      </c>
      <c r="BY20" s="8" t="e">
        <f>+BW20-BX20-BZ20</f>
        <v>#REF!</v>
      </c>
      <c r="BZ20" s="8" t="e">
        <f>+BU20+BV20</f>
        <v>#REF!</v>
      </c>
      <c r="CA20" s="6">
        <f>AH20</f>
        <v>49</v>
      </c>
      <c r="CB20" s="77" t="e">
        <f>IF($CA20&gt;0,VLOOKUP($CA20,#REF!,2)*#REF!,0)</f>
        <v>#REF!</v>
      </c>
      <c r="CC20" s="77" t="e">
        <f>IF($CA20&gt;0,VLOOKUP($CA20,#REF!,3)*#REF!,0)</f>
        <v>#REF!</v>
      </c>
      <c r="CD20" s="77" t="e">
        <f>IF($CA20&gt;0,VLOOKUP($CA20,#REF!,4)*#REF!,0)</f>
        <v>#REF!</v>
      </c>
      <c r="CE20" s="77" t="e">
        <f>IF($CA20&gt;0,VLOOKUP($CA20,#REF!,5)*#REF!,0)</f>
        <v>#REF!</v>
      </c>
      <c r="CF20" s="77" t="e">
        <f>IF($CA20&gt;0,VLOOKUP($CA20,#REF!,6)*#REF!,0)</f>
        <v>#REF!</v>
      </c>
      <c r="CG20" s="77" t="e">
        <f>IF($CA20&gt;0,VLOOKUP($CA20,#REF!,7)*#REF!,0)</f>
        <v>#REF!</v>
      </c>
      <c r="CH20" s="77" t="e">
        <f>+(CG20+CI20)/2</f>
        <v>#REF!</v>
      </c>
      <c r="CI20" s="77" t="e">
        <f>IF($CA20&gt;0,VLOOKUP($CA20,#REF!,8)*#REF!,0)</f>
        <v>#REF!</v>
      </c>
      <c r="CJ20" s="77" t="e">
        <f>IF($CA20&gt;0,VLOOKUP($CA20,#REF!,9)*#REF!,0)</f>
        <v>#REF!</v>
      </c>
      <c r="CK20" s="77" t="e">
        <f>IF($CA20&gt;0,VLOOKUP($CA20,#REF!,10)*#REF!,0)</f>
        <v>#REF!</v>
      </c>
      <c r="CL20" s="77" t="e">
        <f>IF($CA20&gt;0,VLOOKUP($CA20,#REF!,11)*#REF!,0)</f>
        <v>#REF!</v>
      </c>
      <c r="CM20" s="77" t="e">
        <f>IF($CA20&gt;0,VLOOKUP($CA20,#REF!,12)*#REF!,0)</f>
        <v>#REF!</v>
      </c>
      <c r="CN20" s="77" t="e">
        <f>IF($CA20&gt;0,VLOOKUP($CA20,#REF!,13)*#REF!,0)</f>
        <v>#REF!</v>
      </c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</row>
    <row r="21" spans="1:183">
      <c r="A21" s="881"/>
      <c r="B21" s="67"/>
      <c r="C21" s="26"/>
      <c r="D21" s="69"/>
      <c r="E21" s="68"/>
      <c r="F21" s="68"/>
      <c r="G21" s="68"/>
      <c r="H21" s="69"/>
      <c r="I21" s="68"/>
      <c r="J21" s="68"/>
      <c r="K21" s="135"/>
      <c r="L21" s="93"/>
      <c r="M21" s="73"/>
      <c r="N21" s="73"/>
      <c r="O21" s="94"/>
      <c r="P21" s="73"/>
      <c r="Q21" s="73"/>
      <c r="R21" s="73"/>
      <c r="S21" s="73"/>
      <c r="T21" s="151"/>
      <c r="U21" s="75"/>
      <c r="V21" s="75"/>
      <c r="W21" s="75"/>
      <c r="X21" s="77"/>
      <c r="Y21" s="152"/>
      <c r="Z21" s="77"/>
      <c r="AA21" s="137"/>
      <c r="AB21" s="98"/>
      <c r="AC21" s="153"/>
      <c r="AD21" s="75"/>
      <c r="AE21" s="77"/>
      <c r="AF21" s="77"/>
      <c r="AG21" s="154"/>
      <c r="AH21" s="155"/>
      <c r="AI21" s="156"/>
      <c r="AJ21" s="89"/>
      <c r="AK21" s="26"/>
      <c r="AL21" s="6"/>
      <c r="AM21" s="157"/>
      <c r="AN21" s="139"/>
      <c r="AO21" s="158"/>
      <c r="AP21" s="159"/>
      <c r="AQ21" s="159"/>
      <c r="AR21" s="159"/>
      <c r="AS21" s="159"/>
      <c r="AT21" s="159"/>
      <c r="AU21" s="159"/>
      <c r="AV21" s="160"/>
      <c r="AW21" s="8"/>
      <c r="AX21" s="8"/>
      <c r="AY21" s="161"/>
      <c r="AZ21" s="161"/>
      <c r="BA21" s="161"/>
      <c r="BB21" s="162"/>
      <c r="BC21" s="163"/>
      <c r="BD21" s="164"/>
      <c r="BE21" s="164"/>
      <c r="BF21" s="164"/>
      <c r="BG21" s="164"/>
      <c r="BH21" s="165"/>
      <c r="BI21" s="4"/>
      <c r="BJ21" s="5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4"/>
      <c r="CB21" s="164"/>
      <c r="CC21" s="164"/>
      <c r="CD21" s="164"/>
      <c r="CE21" s="164"/>
      <c r="CF21" s="164"/>
      <c r="CG21" s="164"/>
      <c r="CH21" s="77"/>
      <c r="CI21" s="164"/>
      <c r="CJ21" s="164"/>
      <c r="CK21" s="164"/>
      <c r="CL21" s="164"/>
      <c r="CM21" s="164"/>
      <c r="CN21" s="164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</row>
    <row r="22" spans="1:183" s="64" customFormat="1">
      <c r="A22" s="882"/>
      <c r="B22" s="103"/>
      <c r="C22" s="104"/>
      <c r="D22" s="105"/>
      <c r="E22" s="106"/>
      <c r="F22" s="106"/>
      <c r="G22" s="106"/>
      <c r="H22" s="105"/>
      <c r="I22" s="106"/>
      <c r="J22" s="106"/>
      <c r="K22" s="136"/>
      <c r="L22" s="107"/>
      <c r="M22" s="108"/>
      <c r="N22" s="108"/>
      <c r="O22" s="109"/>
      <c r="P22" s="108"/>
      <c r="Q22" s="108"/>
      <c r="R22" s="108"/>
      <c r="S22" s="108"/>
      <c r="T22" s="110"/>
      <c r="U22" s="111"/>
      <c r="V22" s="111"/>
      <c r="W22" s="111"/>
      <c r="X22" s="111"/>
      <c r="Y22" s="112"/>
      <c r="Z22" s="113"/>
      <c r="AA22" s="142"/>
      <c r="AB22" s="115"/>
      <c r="AC22" s="115"/>
      <c r="AD22" s="111"/>
      <c r="AE22" s="116"/>
      <c r="AF22" s="116"/>
      <c r="AG22" s="166"/>
      <c r="AH22" s="119"/>
      <c r="AI22" s="167"/>
      <c r="AJ22" s="108"/>
      <c r="AK22" s="120"/>
      <c r="AL22" s="168"/>
      <c r="AM22" s="169"/>
      <c r="AN22" s="148"/>
      <c r="AO22" s="149"/>
      <c r="AP22" s="123"/>
      <c r="AQ22" s="123"/>
      <c r="AR22" s="149"/>
      <c r="AS22" s="123"/>
      <c r="AT22" s="123"/>
      <c r="AU22" s="123"/>
      <c r="AV22" s="150">
        <f>((D22*L22)+(E22*M22)+(F22*N22)+(G22*O22))*5+((H22*P22)+(I22*Q22)+(J22*R22)+(K22*S22))*2</f>
        <v>0</v>
      </c>
      <c r="AW22" s="125">
        <f t="array" ref="AW22">+SUM(E22:G22*M22:O22)</f>
        <v>0</v>
      </c>
      <c r="AX22" s="125">
        <f t="array" ref="AX22">+SUM(H22:K22*P22:S22)*2</f>
        <v>0</v>
      </c>
      <c r="AY22" s="125">
        <f>((E22*AO22)+(F22*AP22)+(G22*AQ22))*5+((I22*AR22)+(J22*AS22)+(K22*AT22))*2</f>
        <v>0</v>
      </c>
      <c r="AZ22" s="125">
        <f>((J22*R22)+(K22*AU22)+(I22*Q22)+(H22*P22))*2</f>
        <v>0</v>
      </c>
      <c r="BA22" s="125" t="e">
        <f>((J22*R22)+(K22*S22)+(I22*Q22)+(H22*P22))*#REF!</f>
        <v>#REF!</v>
      </c>
      <c r="BB22" s="118">
        <v>1</v>
      </c>
      <c r="BC22" s="126" t="e">
        <f>AV22/AJ22</f>
        <v>#DIV/0!</v>
      </c>
      <c r="BD22" s="113">
        <f>+SUM(AK22:AL22)/52*IF(Y22=1,0.5,IF(Y22=2,1.5,IF(Y22=4,3,IF(Y22=5,5,0))))+AV22</f>
        <v>0</v>
      </c>
      <c r="BE22" s="113">
        <f>+SUM(AK22:AL22)/52*AM22*IF(Y22=1,0.5,IF(Y22=2,1.5,IF(Y22=4,3,IF(Y22=5,5,0))))+AG22*AV22</f>
        <v>0</v>
      </c>
      <c r="BF22" s="113">
        <f>+(AW22*AK22*AM22+AX22/2*AL22*AM22)/52+AB22</f>
        <v>0</v>
      </c>
      <c r="BG22" s="113">
        <f>SUM(BD22:BF22)</f>
        <v>0</v>
      </c>
      <c r="BH22" s="127" t="e">
        <f>+(BC22-AI22)/AI22*AJ22</f>
        <v>#DIV/0!</v>
      </c>
      <c r="BI22" s="62"/>
      <c r="BJ22" s="63">
        <f>C22</f>
        <v>0</v>
      </c>
      <c r="BK22" s="125">
        <f>TRUNC(CB22*AI22/1000)</f>
        <v>0</v>
      </c>
      <c r="BL22" s="125" t="e">
        <f>TRUNC(#REF!*Z22/1000)</f>
        <v>#REF!</v>
      </c>
      <c r="BM22" s="125" t="e">
        <f>TRUNC(#REF!*AA22/1000)</f>
        <v>#REF!</v>
      </c>
      <c r="BN22" s="125" t="e">
        <f>TRUNC(#REF!*AZ22*#REF!)/1000</f>
        <v>#REF!</v>
      </c>
      <c r="BO22" s="125" t="e">
        <f>IF(AJ22=35.5,TRUNC(BA22*CN22*(1-BB22)/1000),TRUNC(BA22*CN22*(1-BB22)/1000))</f>
        <v>#REF!</v>
      </c>
      <c r="BP22" s="125" t="e">
        <f>TRUNC(AY22*#REF!*CL22)/1000</f>
        <v>#REF!</v>
      </c>
      <c r="BQ22" s="125" t="e">
        <f>TRUNC((SUM(BK22:BP22)+SUM(BS22:BT22))*AG22)</f>
        <v>#REF!</v>
      </c>
      <c r="BR22" s="125"/>
      <c r="BS22" s="125" t="e">
        <f>TRUNC(#REF!*((V22*CG22)+(U22*CF22)+(W22*CI22)+(X22*CK22)))/1000</f>
        <v>#REF!</v>
      </c>
      <c r="BT22" s="125" t="e">
        <f>TRUNC(#REF!*((AC22*CG22)+(AD22*CH22)+(AE22*CI22)+(AF22*CK22))+BR22*AM22*1000)/1000</f>
        <v>#REF!</v>
      </c>
      <c r="BU22" s="125" t="e">
        <f>+BK22*#REF!</f>
        <v>#REF!</v>
      </c>
      <c r="BV22" s="125" t="e">
        <f>SUM(BK22:BU22)*#REF!</f>
        <v>#REF!</v>
      </c>
      <c r="BW22" s="125" t="e">
        <f>TRUNC(SUM(BK22:BV22))</f>
        <v>#REF!</v>
      </c>
      <c r="BX22" s="125" t="e">
        <f>+BK22+BL22+BM22+BN22+BP22+BR22+BS22+BO22</f>
        <v>#REF!</v>
      </c>
      <c r="BY22" s="125" t="e">
        <f>+BW22-BX22-BZ22</f>
        <v>#REF!</v>
      </c>
      <c r="BZ22" s="125" t="e">
        <f>+BU22+BV22</f>
        <v>#REF!</v>
      </c>
      <c r="CA22" s="62">
        <f>AH22</f>
        <v>0</v>
      </c>
      <c r="CB22" s="113">
        <f>IF($CA22&gt;0,VLOOKUP($CA22,#REF!,2)*#REF!,0)</f>
        <v>0</v>
      </c>
      <c r="CC22" s="113">
        <f>IF($CA22&gt;0,VLOOKUP($CA22,#REF!,3)*#REF!,0)</f>
        <v>0</v>
      </c>
      <c r="CD22" s="113">
        <f>IF($CA22&gt;0,VLOOKUP($CA22,#REF!,4)*#REF!,0)</f>
        <v>0</v>
      </c>
      <c r="CE22" s="113">
        <f>IF($CA22&gt;0,VLOOKUP($CA22,#REF!,5)*#REF!,0)</f>
        <v>0</v>
      </c>
      <c r="CF22" s="113">
        <f>IF($CA22&gt;0,VLOOKUP($CA22,#REF!,6)*#REF!,0)</f>
        <v>0</v>
      </c>
      <c r="CG22" s="113">
        <f>IF($CA22&gt;0,VLOOKUP($CA22,#REF!,7)*#REF!,0)</f>
        <v>0</v>
      </c>
      <c r="CH22" s="170">
        <f>+(CG22+CI22)/2</f>
        <v>0</v>
      </c>
      <c r="CI22" s="113">
        <f>IF($CA22&gt;0,VLOOKUP($CA22,#REF!,8)*#REF!,0)</f>
        <v>0</v>
      </c>
      <c r="CJ22" s="113">
        <f>IF($CA22&gt;0,VLOOKUP($CA22,#REF!,9)*#REF!,0)</f>
        <v>0</v>
      </c>
      <c r="CK22" s="113">
        <f>IF($CA22&gt;0,VLOOKUP($CA22,#REF!,10)*#REF!,0)</f>
        <v>0</v>
      </c>
      <c r="CL22" s="113">
        <f>IF($CA22&gt;0,VLOOKUP($CA22,#REF!,11)*#REF!,0)</f>
        <v>0</v>
      </c>
      <c r="CM22" s="113">
        <f>IF($CA22&gt;0,VLOOKUP($CA22,#REF!,12)*#REF!,0)</f>
        <v>0</v>
      </c>
      <c r="CN22" s="113">
        <f>IF($CA22&gt;0,VLOOKUP($CA22,#REF!,13)*#REF!,0)</f>
        <v>0</v>
      </c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  <c r="ET22" s="63"/>
      <c r="EU22" s="63"/>
      <c r="EV22" s="63"/>
      <c r="EW22" s="63"/>
      <c r="EX22" s="63"/>
      <c r="EY22" s="63"/>
      <c r="EZ22" s="63"/>
      <c r="FA22" s="63"/>
      <c r="FB22" s="63"/>
      <c r="FC22" s="63"/>
      <c r="FD22" s="63"/>
      <c r="FE22" s="63"/>
      <c r="FF22" s="63"/>
      <c r="FG22" s="63"/>
      <c r="FH22" s="63"/>
      <c r="FI22" s="63"/>
      <c r="FJ22" s="63"/>
      <c r="FK22" s="63"/>
      <c r="FL22" s="63"/>
      <c r="FM22" s="63"/>
      <c r="FN22" s="63"/>
      <c r="FO22" s="63"/>
      <c r="FP22" s="63"/>
      <c r="FQ22" s="63"/>
      <c r="FR22" s="63"/>
      <c r="FS22" s="63"/>
      <c r="FT22" s="63"/>
      <c r="FU22" s="63"/>
      <c r="FV22" s="63"/>
      <c r="FW22" s="63"/>
      <c r="FX22" s="63"/>
      <c r="FY22" s="63"/>
      <c r="FZ22" s="63"/>
      <c r="GA22" s="63"/>
    </row>
    <row r="25" spans="1:183">
      <c r="A25" s="171"/>
      <c r="B25" s="172"/>
      <c r="C25" s="88"/>
      <c r="D25" s="68"/>
      <c r="E25" s="68"/>
      <c r="F25" s="68"/>
      <c r="G25" s="68"/>
      <c r="H25" s="173"/>
      <c r="I25" s="174"/>
      <c r="J25" s="174"/>
      <c r="K25" s="175"/>
      <c r="L25" s="73"/>
      <c r="M25" s="73"/>
      <c r="N25" s="73"/>
      <c r="O25" s="73"/>
      <c r="P25" s="70"/>
      <c r="Q25" s="71"/>
      <c r="R25" s="71"/>
      <c r="S25" s="71"/>
      <c r="T25" s="95"/>
      <c r="U25" s="80"/>
      <c r="V25" s="80"/>
      <c r="W25" s="80"/>
      <c r="X25" s="80"/>
      <c r="Y25" s="96"/>
      <c r="Z25" s="176"/>
      <c r="AA25" s="77"/>
      <c r="AB25" s="177"/>
      <c r="AC25" s="75"/>
      <c r="AD25" s="75"/>
      <c r="AE25" s="99"/>
      <c r="AF25" s="99"/>
      <c r="AG25" s="178"/>
      <c r="AH25" s="179"/>
      <c r="AI25" s="70"/>
      <c r="AJ25" s="72"/>
      <c r="AK25" s="138"/>
      <c r="AL25" s="138"/>
      <c r="AM25" s="180"/>
      <c r="AN25" s="88"/>
      <c r="AO25" s="89"/>
      <c r="AP25" s="89"/>
      <c r="AQ25" s="89"/>
      <c r="AR25" s="89"/>
      <c r="AS25" s="89"/>
      <c r="AT25" s="89"/>
      <c r="AU25" s="89"/>
      <c r="AV25" s="181"/>
      <c r="AW25" s="8"/>
      <c r="AX25" s="8"/>
      <c r="AY25" s="8"/>
      <c r="AZ25" s="8"/>
      <c r="BA25" s="8"/>
      <c r="BB25" s="83"/>
      <c r="BC25" s="91"/>
      <c r="BD25" s="77"/>
      <c r="BE25" s="77"/>
      <c r="BF25" s="77"/>
      <c r="BG25" s="77"/>
      <c r="BH25" s="92"/>
      <c r="BI25" s="4"/>
      <c r="BJ25" s="6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4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</row>
    <row r="26" spans="1:183" s="64" customFormat="1">
      <c r="A26" s="182" t="s">
        <v>108</v>
      </c>
      <c r="B26" s="183" t="s">
        <v>106</v>
      </c>
      <c r="C26" s="46" t="s">
        <v>107</v>
      </c>
      <c r="D26" s="106">
        <v>12</v>
      </c>
      <c r="E26" s="106">
        <v>6</v>
      </c>
      <c r="F26" s="106"/>
      <c r="G26" s="106">
        <v>3.2</v>
      </c>
      <c r="H26" s="105">
        <v>4</v>
      </c>
      <c r="I26" s="106">
        <v>4</v>
      </c>
      <c r="J26" s="106"/>
      <c r="K26" s="136">
        <v>2</v>
      </c>
      <c r="L26" s="108">
        <v>8</v>
      </c>
      <c r="M26" s="108">
        <v>8</v>
      </c>
      <c r="N26" s="108"/>
      <c r="O26" s="108">
        <v>9.5</v>
      </c>
      <c r="P26" s="107">
        <v>8</v>
      </c>
      <c r="Q26" s="108">
        <v>8</v>
      </c>
      <c r="R26" s="108"/>
      <c r="S26" s="108">
        <v>9.5</v>
      </c>
      <c r="T26" s="140">
        <f>+SUM(H26:K26)*3/AI26</f>
        <v>1.0260115606936417</v>
      </c>
      <c r="U26" s="111"/>
      <c r="V26" s="111"/>
      <c r="W26" s="111"/>
      <c r="X26" s="113"/>
      <c r="Y26" s="141"/>
      <c r="Z26" s="184"/>
      <c r="AA26" s="113"/>
      <c r="AB26" s="185"/>
      <c r="AC26" s="186"/>
      <c r="AD26" s="111"/>
      <c r="AE26" s="113"/>
      <c r="AF26" s="113"/>
      <c r="AG26" s="187">
        <v>0</v>
      </c>
      <c r="AH26" s="188">
        <v>35</v>
      </c>
      <c r="AI26" s="189">
        <f>+BC26</f>
        <v>29.239436619718308</v>
      </c>
      <c r="AJ26" s="190">
        <v>35.5</v>
      </c>
      <c r="AK26" s="63"/>
      <c r="AL26" s="63"/>
      <c r="AM26" s="147"/>
      <c r="AN26" s="46" t="e">
        <f>BW26</f>
        <v>#REF!</v>
      </c>
      <c r="AO26" s="123">
        <v>5.5</v>
      </c>
      <c r="AP26" s="123"/>
      <c r="AQ26" s="123">
        <v>8</v>
      </c>
      <c r="AR26" s="123">
        <v>5.5</v>
      </c>
      <c r="AS26" s="123"/>
      <c r="AT26" s="123">
        <v>8</v>
      </c>
      <c r="AU26" s="123">
        <v>7.5</v>
      </c>
      <c r="AV26" s="124">
        <f>((D26*L26)+(E26*M26)+(F26*N26)+(G26*O26))*5+((H26*P26)+(I26*Q26)+(J26*R26)+(K26*S26))*2</f>
        <v>1038</v>
      </c>
      <c r="AW26" s="125">
        <f t="array" ref="AW26">+SUM(E26:G26*M26:O26)</f>
        <v>78.400000000000006</v>
      </c>
      <c r="AX26" s="125">
        <f t="array" ref="AX26">+SUM(H26:K26*P26:S26)*2</f>
        <v>166</v>
      </c>
      <c r="AY26" s="125">
        <f>((E26*AO26)+(F26*AP26)+(G26*AQ26))*5+((I26*AR26)+(J26*AS26)+(K26*AT26))*2</f>
        <v>369</v>
      </c>
      <c r="AZ26" s="125">
        <f>((J26*R26)+(K26*AU26)+(I26*Q26)+(H26*P26))*2</f>
        <v>158</v>
      </c>
      <c r="BA26" s="125" t="e">
        <f>((J26*R26)+(K26*S26)+(I26*Q26)+(H26*P26))*#REF!</f>
        <v>#REF!</v>
      </c>
      <c r="BB26" s="118">
        <v>0</v>
      </c>
      <c r="BC26" s="126">
        <f>AV26/AJ26</f>
        <v>29.239436619718308</v>
      </c>
      <c r="BD26" s="113">
        <f>+AV26</f>
        <v>1038</v>
      </c>
      <c r="BE26" s="113">
        <f>+AG26*BD26</f>
        <v>0</v>
      </c>
      <c r="BF26" s="113">
        <f>+(AW26*AK26*AM26+AX26/2*AL26*AM26)/52+AB26+Y26*7*(AK26+AL26)/374</f>
        <v>0</v>
      </c>
      <c r="BG26" s="113">
        <f>SUM(BD26:BF26)</f>
        <v>1038</v>
      </c>
      <c r="BH26" s="127">
        <f>+(BC26-AI26)/AI26*AJ26</f>
        <v>0</v>
      </c>
      <c r="BI26" s="62"/>
      <c r="BJ26" s="63" t="str">
        <f>C26</f>
        <v>Sy pl</v>
      </c>
      <c r="BK26" s="125" t="e">
        <f>TRUNC(CB26*AI26/1000)</f>
        <v>#REF!</v>
      </c>
      <c r="BL26" s="125" t="e">
        <f>TRUNC(#REF!*Z26/1000)</f>
        <v>#REF!</v>
      </c>
      <c r="BM26" s="125" t="e">
        <f>TRUNC(#REF!*AA26/1000)</f>
        <v>#REF!</v>
      </c>
      <c r="BN26" s="125" t="e">
        <f>TRUNC(#REF!*AZ26*#REF!)/1000</f>
        <v>#REF!</v>
      </c>
      <c r="BO26" s="125" t="e">
        <f>IF(AJ26=35.5,TRUNC(BA26*CN26*(1-BB26)/1000),TRUNC(BA26*CN26*(1-BB26)/1000))</f>
        <v>#REF!</v>
      </c>
      <c r="BP26" s="125" t="e">
        <f>TRUNC(AY26*#REF!*CL26)/1000</f>
        <v>#REF!</v>
      </c>
      <c r="BQ26" s="125" t="e">
        <f>TRUNC((SUM(BK26:BP26)+SUM(BS26:BT26))*AG26)</f>
        <v>#REF!</v>
      </c>
      <c r="BR26" s="125"/>
      <c r="BS26" s="125" t="e">
        <f>TRUNC(#REF!*((V26*CG26)+(U26*CF26)+(W26*CI26)+(X26*CK26)))/1000</f>
        <v>#REF!</v>
      </c>
      <c r="BT26" s="125" t="e">
        <f>TRUNC(#REF!*((AC26*CG26)+(AD26*CH26)+(AE26*CI26)+(AF26*CK26))/1000)</f>
        <v>#REF!</v>
      </c>
      <c r="BU26" s="125" t="e">
        <f>+BK26*#REF!</f>
        <v>#REF!</v>
      </c>
      <c r="BV26" s="125" t="e">
        <f>SUM(BK26:BU26)*#REF!</f>
        <v>#REF!</v>
      </c>
      <c r="BW26" s="125" t="e">
        <f>TRUNC(SUM(BK26:BV26))</f>
        <v>#REF!</v>
      </c>
      <c r="BX26" s="125" t="e">
        <f>+BK26+BL26+BM26+BN26+BP26+BR26+BS26+BO26</f>
        <v>#REF!</v>
      </c>
      <c r="BY26" s="125" t="e">
        <f>+BW26-BX26-BZ26</f>
        <v>#REF!</v>
      </c>
      <c r="BZ26" s="125" t="e">
        <f>+BU26+BV26</f>
        <v>#REF!</v>
      </c>
      <c r="CA26" s="62">
        <f>AH26</f>
        <v>35</v>
      </c>
      <c r="CB26" s="113" t="e">
        <f>IF($CA26&gt;0,VLOOKUP($CA26,#REF!,2)*#REF!,0)</f>
        <v>#REF!</v>
      </c>
      <c r="CC26" s="113" t="e">
        <f>IF($CA26&gt;0,VLOOKUP($CA26,#REF!,3)*#REF!,0)</f>
        <v>#REF!</v>
      </c>
      <c r="CD26" s="113" t="e">
        <f>IF($CA26&gt;0,VLOOKUP($CA26,#REF!,4)*#REF!,0)</f>
        <v>#REF!</v>
      </c>
      <c r="CE26" s="113" t="e">
        <f>IF($CA26&gt;0,VLOOKUP($CA26,#REF!,5)*#REF!,0)</f>
        <v>#REF!</v>
      </c>
      <c r="CF26" s="113" t="e">
        <f>IF($CA26&gt;0,VLOOKUP($CA26,#REF!,6)*#REF!,0)</f>
        <v>#REF!</v>
      </c>
      <c r="CG26" s="113" t="e">
        <f>IF($CA26&gt;0,VLOOKUP($CA26,#REF!,7)*#REF!,0)</f>
        <v>#REF!</v>
      </c>
      <c r="CH26" s="113" t="e">
        <f>+(CG26+CI26)/2</f>
        <v>#REF!</v>
      </c>
      <c r="CI26" s="113" t="e">
        <f>IF($CA26&gt;0,VLOOKUP($CA26,#REF!,8)*#REF!,0)</f>
        <v>#REF!</v>
      </c>
      <c r="CJ26" s="113" t="e">
        <f>IF($CA26&gt;0,VLOOKUP($CA26,#REF!,9)*#REF!,0)</f>
        <v>#REF!</v>
      </c>
      <c r="CK26" s="113" t="e">
        <f>IF($CA26&gt;0,VLOOKUP($CA26,#REF!,10)*#REF!,0)</f>
        <v>#REF!</v>
      </c>
      <c r="CL26" s="113" t="e">
        <f>IF($CA26&gt;0,VLOOKUP($CA26,#REF!,11)*#REF!,0)</f>
        <v>#REF!</v>
      </c>
      <c r="CM26" s="113" t="e">
        <f>IF($CA26&gt;0,VLOOKUP($CA26,#REF!,12)*#REF!,0)</f>
        <v>#REF!</v>
      </c>
      <c r="CN26" s="113" t="e">
        <f>IF($CA26&gt;0,VLOOKUP($CA26,#REF!,13)*#REF!,0)</f>
        <v>#REF!</v>
      </c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  <c r="FL26" s="63"/>
      <c r="FM26" s="63"/>
      <c r="FN26" s="63"/>
      <c r="FO26" s="63"/>
      <c r="FP26" s="63"/>
      <c r="FQ26" s="63"/>
      <c r="FR26" s="63"/>
      <c r="FS26" s="63"/>
      <c r="FT26" s="63"/>
      <c r="FU26" s="63"/>
      <c r="FV26" s="63"/>
      <c r="FW26" s="63"/>
      <c r="FX26" s="63"/>
      <c r="FY26" s="63"/>
      <c r="FZ26" s="63"/>
      <c r="GA26" s="63"/>
    </row>
    <row r="27" spans="1:183">
      <c r="A27" s="191"/>
      <c r="B27" s="172"/>
      <c r="C27" s="102"/>
      <c r="D27" s="68"/>
      <c r="E27" s="68"/>
      <c r="F27" s="68"/>
      <c r="G27" s="68"/>
      <c r="H27" s="69"/>
      <c r="I27" s="68"/>
      <c r="J27" s="68"/>
      <c r="K27" s="135"/>
      <c r="L27" s="73"/>
      <c r="M27" s="73"/>
      <c r="N27" s="73"/>
      <c r="O27" s="73"/>
      <c r="P27" s="93"/>
      <c r="Q27" s="73"/>
      <c r="R27" s="73"/>
      <c r="S27" s="73"/>
      <c r="T27" s="151"/>
      <c r="U27" s="75"/>
      <c r="V27" s="75"/>
      <c r="W27" s="75"/>
      <c r="X27" s="77"/>
      <c r="Y27" s="152"/>
      <c r="Z27" s="192"/>
      <c r="AA27" s="77"/>
      <c r="AB27" s="193"/>
      <c r="AC27" s="194"/>
      <c r="AD27" s="75"/>
      <c r="AE27" s="77"/>
      <c r="AF27" s="77"/>
      <c r="AG27" s="195"/>
      <c r="AH27" s="196"/>
      <c r="AI27" s="197"/>
      <c r="AJ27" s="198"/>
      <c r="AK27" s="6"/>
      <c r="AL27" s="6"/>
      <c r="AM27" s="157"/>
      <c r="AN27" s="102"/>
      <c r="AO27" s="89"/>
      <c r="AP27" s="159"/>
      <c r="AQ27" s="159"/>
      <c r="AR27" s="159"/>
      <c r="AS27" s="159"/>
      <c r="AT27" s="159"/>
      <c r="AU27" s="159"/>
      <c r="AV27" s="90"/>
      <c r="AW27" s="8"/>
      <c r="AX27" s="8"/>
      <c r="AY27" s="161"/>
      <c r="AZ27" s="161"/>
      <c r="BA27" s="161"/>
      <c r="BB27" s="162"/>
      <c r="BC27" s="163"/>
      <c r="BD27" s="164"/>
      <c r="BE27" s="164"/>
      <c r="BF27" s="164"/>
      <c r="BG27" s="164"/>
      <c r="BH27" s="165"/>
      <c r="BI27" s="4"/>
      <c r="BJ27" s="5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4"/>
      <c r="CB27" s="164"/>
      <c r="CC27" s="164"/>
      <c r="CD27" s="164"/>
      <c r="CE27" s="164"/>
      <c r="CF27" s="164"/>
      <c r="CG27" s="164"/>
      <c r="CH27" s="77"/>
      <c r="CI27" s="164"/>
      <c r="CJ27" s="164"/>
      <c r="CK27" s="164"/>
      <c r="CL27" s="164"/>
      <c r="CM27" s="164"/>
      <c r="CN27" s="164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</row>
    <row r="28" spans="1:183">
      <c r="A28" s="191" t="s">
        <v>109</v>
      </c>
      <c r="B28" s="172" t="s">
        <v>106</v>
      </c>
      <c r="C28" s="102" t="s">
        <v>110</v>
      </c>
      <c r="D28" s="68">
        <v>5.2</v>
      </c>
      <c r="E28" s="68">
        <v>2</v>
      </c>
      <c r="F28" s="68"/>
      <c r="G28" s="68">
        <v>1.18</v>
      </c>
      <c r="H28" s="69">
        <v>1.19</v>
      </c>
      <c r="I28" s="68">
        <v>2</v>
      </c>
      <c r="J28" s="68"/>
      <c r="K28" s="135">
        <v>1.18</v>
      </c>
      <c r="L28" s="73">
        <v>7.5</v>
      </c>
      <c r="M28" s="73">
        <v>8</v>
      </c>
      <c r="N28" s="73"/>
      <c r="O28" s="73">
        <v>9.5</v>
      </c>
      <c r="P28" s="93">
        <v>7.5</v>
      </c>
      <c r="Q28" s="73">
        <v>8</v>
      </c>
      <c r="R28" s="73"/>
      <c r="S28" s="73">
        <v>9.5</v>
      </c>
      <c r="T28" s="151">
        <f>+SUM(H28:K28)*3/AI28</f>
        <v>1.1539348408211842</v>
      </c>
      <c r="U28" s="75"/>
      <c r="V28" s="75"/>
      <c r="W28" s="75"/>
      <c r="X28" s="77"/>
      <c r="Y28" s="152"/>
      <c r="Z28" s="192"/>
      <c r="AA28" s="77"/>
      <c r="AB28" s="193"/>
      <c r="AC28" s="194"/>
      <c r="AD28" s="75"/>
      <c r="AE28" s="77"/>
      <c r="AF28" s="77"/>
      <c r="AG28" s="195">
        <v>0</v>
      </c>
      <c r="AH28" s="196">
        <v>36</v>
      </c>
      <c r="AI28" s="197">
        <f>+BC28</f>
        <v>11.361126760563378</v>
      </c>
      <c r="AJ28" s="198">
        <v>35.5</v>
      </c>
      <c r="AK28" s="6"/>
      <c r="AL28" s="6"/>
      <c r="AM28" s="157"/>
      <c r="AN28" s="102" t="e">
        <f>BW28</f>
        <v>#REF!</v>
      </c>
      <c r="AO28" s="89">
        <v>6</v>
      </c>
      <c r="AP28" s="159"/>
      <c r="AQ28" s="159">
        <v>7.5</v>
      </c>
      <c r="AR28" s="159">
        <v>6</v>
      </c>
      <c r="AS28" s="159"/>
      <c r="AT28" s="159">
        <v>7.5</v>
      </c>
      <c r="AU28" s="159">
        <v>8</v>
      </c>
      <c r="AV28" s="90">
        <f>((D28*L28)+(E28*M28)+(F28*N28)+(G28*O28))*5+((H28*P28)+(I28*Q28)+(J28*R28)+(K28*S28))*2</f>
        <v>403.31999999999994</v>
      </c>
      <c r="AW28" s="8">
        <f t="array" ref="AW28">+SUM(E28:G28*M28:O28)</f>
        <v>27.21</v>
      </c>
      <c r="AX28" s="8">
        <f t="array" ref="AX28">+SUM(H28:K28*P28:S28)*2</f>
        <v>72.27</v>
      </c>
      <c r="AY28" s="161">
        <f>((E28*AO28)+(F28*AP28)+(G28*AQ28))*5+((I28*AR28)+(J28*AS28)+(K28*AT28))*2</f>
        <v>145.94999999999999</v>
      </c>
      <c r="AZ28" s="161">
        <f>((J28*R28)+(K28*AU28)+(I28*Q28)+(H28*P28))*2</f>
        <v>68.72999999999999</v>
      </c>
      <c r="BA28" s="161" t="e">
        <f>((J28*R28)+(K28*S28)+(I28*Q28)+(H28*P28))*#REF!</f>
        <v>#REF!</v>
      </c>
      <c r="BB28" s="162">
        <v>0</v>
      </c>
      <c r="BC28" s="163">
        <f>AV28/AJ28</f>
        <v>11.361126760563378</v>
      </c>
      <c r="BD28" s="164">
        <f>+AV28</f>
        <v>403.31999999999994</v>
      </c>
      <c r="BE28" s="164">
        <f>+AG28*BD28</f>
        <v>0</v>
      </c>
      <c r="BF28" s="164">
        <f>+(AW28*AK28*AM28+AX28/2*AL28*AM28)/52+AB28+Y28*7*(AK28+AL28)/374</f>
        <v>0</v>
      </c>
      <c r="BG28" s="164">
        <f>SUM(BD28:BF28)</f>
        <v>403.31999999999994</v>
      </c>
      <c r="BH28" s="165">
        <f>+(BC28-AI28)/AI28*AJ28</f>
        <v>0</v>
      </c>
      <c r="BI28" s="4"/>
      <c r="BJ28" s="5" t="str">
        <f>C28</f>
        <v>jormor</v>
      </c>
      <c r="BK28" s="161" t="e">
        <f>TRUNC(CB28*AI28/1000)</f>
        <v>#REF!</v>
      </c>
      <c r="BL28" s="161" t="e">
        <f>TRUNC(#REF!*Z28/1000)</f>
        <v>#REF!</v>
      </c>
      <c r="BM28" s="161" t="e">
        <f>TRUNC(#REF!*AA28/1000)</f>
        <v>#REF!</v>
      </c>
      <c r="BN28" s="161" t="e">
        <f>TRUNC(#REF!*AZ28*#REF!)/1000</f>
        <v>#REF!</v>
      </c>
      <c r="BO28" s="161" t="e">
        <f>IF(AJ28=35.5,TRUNC(BA28*CN28*(1-BB28)/1000),TRUNC(BA28*CN28*(1-BB28)/1000))</f>
        <v>#REF!</v>
      </c>
      <c r="BP28" s="161" t="e">
        <f>TRUNC(AY28*#REF!*CL28)/1000</f>
        <v>#REF!</v>
      </c>
      <c r="BQ28" s="161" t="e">
        <f>TRUNC((SUM(BK28:BP28)+SUM(BS28:BT28))*AG28)</f>
        <v>#REF!</v>
      </c>
      <c r="BR28" s="161"/>
      <c r="BS28" s="161" t="e">
        <f>TRUNC(#REF!*((V28*CG28)+(U28*CF28)+(W28*CI28)+(X28*CK28)))/1000</f>
        <v>#REF!</v>
      </c>
      <c r="BT28" s="161" t="e">
        <f>TRUNC(#REF!*((AC28*CG28)+(AD28*CH28)+(AE28*CI28)+(AF28*CK28))/1000)</f>
        <v>#REF!</v>
      </c>
      <c r="BU28" s="161" t="e">
        <f>+BK28*#REF!</f>
        <v>#REF!</v>
      </c>
      <c r="BV28" s="161" t="e">
        <f>SUM(BK28:BU28)*#REF!</f>
        <v>#REF!</v>
      </c>
      <c r="BW28" s="161" t="e">
        <f>TRUNC(SUM(BK28:BV28))</f>
        <v>#REF!</v>
      </c>
      <c r="BX28" s="161" t="e">
        <f>+BK28+BL28+BM28+BN28+BP28+BR28+BS28+BO28</f>
        <v>#REF!</v>
      </c>
      <c r="BY28" s="161" t="e">
        <f>+BW28-BX28-BZ28</f>
        <v>#REF!</v>
      </c>
      <c r="BZ28" s="161" t="e">
        <f>+BU28+BV28</f>
        <v>#REF!</v>
      </c>
      <c r="CA28" s="4">
        <f>AH28</f>
        <v>36</v>
      </c>
      <c r="CB28" s="164" t="e">
        <f>IF($CA28&gt;0,VLOOKUP($CA28,#REF!,2)*#REF!,0)</f>
        <v>#REF!</v>
      </c>
      <c r="CC28" s="164" t="e">
        <f>IF($CA28&gt;0,VLOOKUP($CA28,#REF!,3)*#REF!,0)</f>
        <v>#REF!</v>
      </c>
      <c r="CD28" s="164" t="e">
        <f>IF($CA28&gt;0,VLOOKUP($CA28,#REF!,4)*#REF!,0)</f>
        <v>#REF!</v>
      </c>
      <c r="CE28" s="164" t="e">
        <f>IF($CA28&gt;0,VLOOKUP($CA28,#REF!,5)*#REF!,0)</f>
        <v>#REF!</v>
      </c>
      <c r="CF28" s="164" t="e">
        <f>IF($CA28&gt;0,VLOOKUP($CA28,#REF!,6)*#REF!,0)</f>
        <v>#REF!</v>
      </c>
      <c r="CG28" s="164" t="e">
        <f>IF($CA28&gt;0,VLOOKUP($CA28,#REF!,7)*#REF!,0)</f>
        <v>#REF!</v>
      </c>
      <c r="CH28" s="77" t="e">
        <f>+(CG28+CI28)/2</f>
        <v>#REF!</v>
      </c>
      <c r="CI28" s="164" t="e">
        <f>IF($CA28&gt;0,VLOOKUP($CA28,#REF!,8)*#REF!,0)</f>
        <v>#REF!</v>
      </c>
      <c r="CJ28" s="164" t="e">
        <f>IF($CA28&gt;0,VLOOKUP($CA28,#REF!,9)*#REF!,0)</f>
        <v>#REF!</v>
      </c>
      <c r="CK28" s="164" t="e">
        <f>IF($CA28&gt;0,VLOOKUP($CA28,#REF!,10)*#REF!,0)</f>
        <v>#REF!</v>
      </c>
      <c r="CL28" s="164" t="e">
        <f>IF($CA28&gt;0,VLOOKUP($CA28,#REF!,11)*#REF!,0)</f>
        <v>#REF!</v>
      </c>
      <c r="CM28" s="164" t="e">
        <f>IF($CA28&gt;0,VLOOKUP($CA28,#REF!,12)*#REF!,0)</f>
        <v>#REF!</v>
      </c>
      <c r="CN28" s="164" t="e">
        <f>IF($CA28&gt;0,VLOOKUP($CA28,#REF!,13)*#REF!,0)</f>
        <v>#REF!</v>
      </c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</row>
    <row r="29" spans="1:183">
      <c r="A29" s="191"/>
      <c r="B29" s="172"/>
      <c r="C29" s="102" t="s">
        <v>111</v>
      </c>
      <c r="D29" s="68">
        <v>0.4</v>
      </c>
      <c r="E29" s="68">
        <v>2</v>
      </c>
      <c r="F29" s="68"/>
      <c r="G29" s="68">
        <v>2</v>
      </c>
      <c r="H29" s="69">
        <v>2</v>
      </c>
      <c r="I29" s="68">
        <v>2</v>
      </c>
      <c r="J29" s="68"/>
      <c r="K29" s="135">
        <v>2</v>
      </c>
      <c r="L29" s="73">
        <v>7.75</v>
      </c>
      <c r="M29" s="73">
        <v>8</v>
      </c>
      <c r="N29" s="73"/>
      <c r="O29" s="73">
        <v>9.5</v>
      </c>
      <c r="P29" s="93">
        <v>8</v>
      </c>
      <c r="Q29" s="73">
        <v>8.25</v>
      </c>
      <c r="R29" s="73"/>
      <c r="S29" s="73">
        <v>9.5</v>
      </c>
      <c r="T29" s="151">
        <f>+SUM(H29:K29)*3/AI29</f>
        <v>2.1771720613287906</v>
      </c>
      <c r="U29" s="75"/>
      <c r="V29" s="75"/>
      <c r="W29" s="75"/>
      <c r="X29" s="77"/>
      <c r="Y29" s="152"/>
      <c r="Z29" s="192"/>
      <c r="AA29" s="77"/>
      <c r="AB29" s="193"/>
      <c r="AC29" s="194"/>
      <c r="AD29" s="75"/>
      <c r="AE29" s="77"/>
      <c r="AF29" s="77"/>
      <c r="AG29" s="195">
        <f>+AG27</f>
        <v>0</v>
      </c>
      <c r="AH29" s="196">
        <v>23</v>
      </c>
      <c r="AI29" s="197">
        <f>+BC29</f>
        <v>8.2676056338028161</v>
      </c>
      <c r="AJ29" s="198">
        <v>35.5</v>
      </c>
      <c r="AK29" s="6"/>
      <c r="AL29" s="6"/>
      <c r="AM29" s="157"/>
      <c r="AN29" s="102" t="e">
        <f>BW29</f>
        <v>#REF!</v>
      </c>
      <c r="AO29" s="89">
        <v>6</v>
      </c>
      <c r="AP29" s="159"/>
      <c r="AQ29" s="159">
        <v>7.5</v>
      </c>
      <c r="AR29" s="159">
        <v>5.75</v>
      </c>
      <c r="AS29" s="159"/>
      <c r="AT29" s="159">
        <v>7.5</v>
      </c>
      <c r="AU29" s="159">
        <v>8</v>
      </c>
      <c r="AV29" s="90">
        <f>((D29*L29)+(E29*M29)+(F29*N29)+(G29*O29))*5+((H29*P29)+(I29*Q29)+(J29*R29)+(K29*S29))*2</f>
        <v>293.5</v>
      </c>
      <c r="AW29" s="8">
        <f t="array" ref="AW29">+SUM(E29:G29*M29:O29)</f>
        <v>35</v>
      </c>
      <c r="AX29" s="8">
        <f t="array" ref="AX29">+SUM(H29:K29*P29:S29)*2</f>
        <v>103</v>
      </c>
      <c r="AY29" s="161">
        <f>((E29*AO29)+(F29*AP29)+(G29*AQ29))*5+((I29*AR29)+(J29*AS29)+(K29*AT29))*2</f>
        <v>188</v>
      </c>
      <c r="AZ29" s="161">
        <f>((J29*R29)+(K29*AU29)+(I29*Q29)+(H29*P29))*2</f>
        <v>97</v>
      </c>
      <c r="BA29" s="161" t="e">
        <f>((J29*R29)+(K29*S29)+(I29*Q29)+(H29*P29))*#REF!</f>
        <v>#REF!</v>
      </c>
      <c r="BB29" s="162">
        <v>0</v>
      </c>
      <c r="BC29" s="163">
        <f>AV29/AJ29</f>
        <v>8.2676056338028161</v>
      </c>
      <c r="BD29" s="164">
        <f>+AV29</f>
        <v>293.5</v>
      </c>
      <c r="BE29" s="164">
        <f>+AG29*BD29</f>
        <v>0</v>
      </c>
      <c r="BF29" s="164">
        <f>+(AW29*AK29*AM29+AX29/2*AL29*AM29)/52+AB29+Y29*7*(AK29+AL29)/374</f>
        <v>0</v>
      </c>
      <c r="BG29" s="164">
        <f>SUM(BD29:BF29)</f>
        <v>293.5</v>
      </c>
      <c r="BH29" s="165">
        <f>+(BC29-AI29)/AI29*AJ29</f>
        <v>0</v>
      </c>
      <c r="BI29" s="4"/>
      <c r="BJ29" s="5" t="str">
        <f>C29</f>
        <v>barnepleier</v>
      </c>
      <c r="BK29" s="161" t="e">
        <f>TRUNC(CB29*AI29/1000)</f>
        <v>#REF!</v>
      </c>
      <c r="BL29" s="161" t="e">
        <f>TRUNC(#REF!*Z29/1000)</f>
        <v>#REF!</v>
      </c>
      <c r="BM29" s="161" t="e">
        <f>TRUNC(#REF!*AA29/1000)</f>
        <v>#REF!</v>
      </c>
      <c r="BN29" s="161" t="e">
        <f>TRUNC(#REF!*AZ29*#REF!)/1000</f>
        <v>#REF!</v>
      </c>
      <c r="BO29" s="161" t="e">
        <f>IF(AJ29=35.5,TRUNC(BA29*CN29*(1-BB29)/1000),TRUNC(BA29*CN29*(1-BB29)/1000))</f>
        <v>#REF!</v>
      </c>
      <c r="BP29" s="161" t="e">
        <f>TRUNC(AY29*#REF!*CL29)/1000</f>
        <v>#REF!</v>
      </c>
      <c r="BQ29" s="161" t="e">
        <f>TRUNC((SUM(BK29:BP29)+SUM(BS29:BT29))*AG29)</f>
        <v>#REF!</v>
      </c>
      <c r="BR29" s="161"/>
      <c r="BS29" s="161" t="e">
        <f>TRUNC(#REF!*((V29*CG29)+(U29*CF29)+(W29*CI29)+(X29*CK29)))/1000</f>
        <v>#REF!</v>
      </c>
      <c r="BT29" s="161" t="e">
        <f>TRUNC(#REF!*((AC29*CG29)+(AD29*CH29)+(AE29*CI29)+(AF29*CK29))/1000)</f>
        <v>#REF!</v>
      </c>
      <c r="BU29" s="161" t="e">
        <f>+BK29*#REF!</f>
        <v>#REF!</v>
      </c>
      <c r="BV29" s="161" t="e">
        <f>SUM(BK29:BU29)*#REF!</f>
        <v>#REF!</v>
      </c>
      <c r="BW29" s="161" t="e">
        <f>TRUNC(SUM(BK29:BV29))</f>
        <v>#REF!</v>
      </c>
      <c r="BX29" s="161" t="e">
        <f>+BK29+BL29+BM29+BN29+BP29+BR29+BS29+BO29</f>
        <v>#REF!</v>
      </c>
      <c r="BY29" s="161" t="e">
        <f>+BW29-BX29-BZ29</f>
        <v>#REF!</v>
      </c>
      <c r="BZ29" s="161" t="e">
        <f>+BU29+BV29</f>
        <v>#REF!</v>
      </c>
      <c r="CA29" s="4">
        <f>AH29</f>
        <v>23</v>
      </c>
      <c r="CB29" s="164" t="e">
        <f>IF($CA29&gt;0,VLOOKUP($CA29,#REF!,2)*#REF!,0)</f>
        <v>#REF!</v>
      </c>
      <c r="CC29" s="164" t="e">
        <f>IF($CA29&gt;0,VLOOKUP($CA29,#REF!,3)*#REF!,0)</f>
        <v>#REF!</v>
      </c>
      <c r="CD29" s="164" t="e">
        <f>IF($CA29&gt;0,VLOOKUP($CA29,#REF!,4)*#REF!,0)</f>
        <v>#REF!</v>
      </c>
      <c r="CE29" s="164" t="e">
        <f>IF($CA29&gt;0,VLOOKUP($CA29,#REF!,5)*#REF!,0)</f>
        <v>#REF!</v>
      </c>
      <c r="CF29" s="164" t="e">
        <f>IF($CA29&gt;0,VLOOKUP($CA29,#REF!,6)*#REF!,0)</f>
        <v>#REF!</v>
      </c>
      <c r="CG29" s="164" t="e">
        <f>IF($CA29&gt;0,VLOOKUP($CA29,#REF!,7)*#REF!,0)</f>
        <v>#REF!</v>
      </c>
      <c r="CH29" s="44" t="e">
        <f>+(CG29+CI29)/2</f>
        <v>#REF!</v>
      </c>
      <c r="CI29" s="164" t="e">
        <f>IF($CA29&gt;0,VLOOKUP($CA29,#REF!,8)*#REF!,0)</f>
        <v>#REF!</v>
      </c>
      <c r="CJ29" s="164" t="e">
        <f>IF($CA29&gt;0,VLOOKUP($CA29,#REF!,9)*#REF!,0)</f>
        <v>#REF!</v>
      </c>
      <c r="CK29" s="164" t="e">
        <f>IF($CA29&gt;0,VLOOKUP($CA29,#REF!,10)*#REF!,0)</f>
        <v>#REF!</v>
      </c>
      <c r="CL29" s="164" t="e">
        <f>IF($CA29&gt;0,VLOOKUP($CA29,#REF!,11)*#REF!,0)</f>
        <v>#REF!</v>
      </c>
      <c r="CM29" s="164" t="e">
        <f>IF($CA29&gt;0,VLOOKUP($CA29,#REF!,12)*#REF!,0)</f>
        <v>#REF!</v>
      </c>
      <c r="CN29" s="164" t="e">
        <f>IF($CA29&gt;0,VLOOKUP($CA29,#REF!,13)*#REF!,0)</f>
        <v>#REF!</v>
      </c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</row>
    <row r="30" spans="1:183" s="64" customFormat="1">
      <c r="A30" s="182"/>
      <c r="B30" s="183"/>
      <c r="C30" s="46" t="s">
        <v>112</v>
      </c>
      <c r="D30" s="106">
        <v>1</v>
      </c>
      <c r="E30" s="106"/>
      <c r="F30" s="106"/>
      <c r="G30" s="106"/>
      <c r="H30" s="105"/>
      <c r="I30" s="106"/>
      <c r="J30" s="106"/>
      <c r="K30" s="136"/>
      <c r="L30" s="108">
        <v>7.5</v>
      </c>
      <c r="M30" s="108"/>
      <c r="N30" s="108" t="s">
        <v>101</v>
      </c>
      <c r="O30" s="108"/>
      <c r="P30" s="107"/>
      <c r="Q30" s="108"/>
      <c r="R30" s="108"/>
      <c r="S30" s="108"/>
      <c r="T30" s="140">
        <f>+SUM(H30:K30)*3/AI30</f>
        <v>0</v>
      </c>
      <c r="U30" s="111"/>
      <c r="V30" s="111"/>
      <c r="W30" s="111"/>
      <c r="X30" s="113"/>
      <c r="Y30" s="141"/>
      <c r="Z30" s="184"/>
      <c r="AA30" s="113"/>
      <c r="AB30" s="185"/>
      <c r="AC30" s="186"/>
      <c r="AD30" s="111"/>
      <c r="AE30" s="113"/>
      <c r="AF30" s="113"/>
      <c r="AG30" s="187">
        <v>0</v>
      </c>
      <c r="AH30" s="188">
        <v>42</v>
      </c>
      <c r="AI30" s="189">
        <f>+BC30</f>
        <v>1</v>
      </c>
      <c r="AJ30" s="190">
        <v>37.5</v>
      </c>
      <c r="AK30" s="63"/>
      <c r="AL30" s="63"/>
      <c r="AM30" s="147"/>
      <c r="AN30" s="46" t="e">
        <f>BW30</f>
        <v>#REF!</v>
      </c>
      <c r="AO30" s="123"/>
      <c r="AP30" s="123"/>
      <c r="AQ30" s="123"/>
      <c r="AR30" s="123"/>
      <c r="AS30" s="123"/>
      <c r="AT30" s="123"/>
      <c r="AU30" s="123"/>
      <c r="AV30" s="124">
        <f>((D30*L30)+(E30*M30)+(F30*N30)+(G30*O30))*5+((H30*P30)+(I30*Q30)+(J30*R30)+(K30*S30))*2</f>
        <v>37.5</v>
      </c>
      <c r="AW30" s="125">
        <f t="array" ref="AW30">+SUM(E30:G30*M30:O30)</f>
        <v>0</v>
      </c>
      <c r="AX30" s="125">
        <f t="array" ref="AX30">+SUM(H30:K30*P30:S30)*2</f>
        <v>0</v>
      </c>
      <c r="AY30" s="125">
        <f>((E30*AO30)+(F30*AP30)+(G30*AQ30))*5+((I30*AR30)+(J30*AS30)+(K30*AT30))*2</f>
        <v>0</v>
      </c>
      <c r="AZ30" s="125">
        <f>((J30*R30)+(K30*AU30)+(I30*Q30)+(H30*P30))*2</f>
        <v>0</v>
      </c>
      <c r="BA30" s="125" t="e">
        <f>((J30*R30)+(K30*S30)+(I30*Q30)+(H30*P30))*#REF!</f>
        <v>#REF!</v>
      </c>
      <c r="BB30" s="118">
        <v>0</v>
      </c>
      <c r="BC30" s="126">
        <f>AV30/AJ30</f>
        <v>1</v>
      </c>
      <c r="BD30" s="113">
        <f>+AV30</f>
        <v>37.5</v>
      </c>
      <c r="BE30" s="113">
        <f>+AG30*BD30</f>
        <v>0</v>
      </c>
      <c r="BF30" s="113">
        <f>+(AW30*AK30*AM30+AX30/2*AL30*AM30)/52+AB30+Y30*7*(AK30+AL30)/374</f>
        <v>0</v>
      </c>
      <c r="BG30" s="113">
        <f>SUM(BD30:BF30)</f>
        <v>37.5</v>
      </c>
      <c r="BH30" s="127">
        <f>+(BC30-AI30)/AI30*AJ30</f>
        <v>0</v>
      </c>
      <c r="BI30" s="62"/>
      <c r="BJ30" s="63" t="str">
        <f>C30</f>
        <v>avdsj\avdjor</v>
      </c>
      <c r="BK30" s="125" t="e">
        <f>TRUNC(CB30*AI30/1000)</f>
        <v>#REF!</v>
      </c>
      <c r="BL30" s="125" t="e">
        <f>TRUNC(#REF!*Z30/1000)</f>
        <v>#REF!</v>
      </c>
      <c r="BM30" s="125" t="e">
        <f>TRUNC(#REF!*AA30/1000)</f>
        <v>#REF!</v>
      </c>
      <c r="BN30" s="125" t="e">
        <f>TRUNC(#REF!*AZ30*#REF!)/1000</f>
        <v>#REF!</v>
      </c>
      <c r="BO30" s="125" t="e">
        <f>IF(AJ30=35.5,TRUNC(BA30*CN30*(1-BB30)/1000),TRUNC(BA30*CN30*(1-BB30)/1000))</f>
        <v>#REF!</v>
      </c>
      <c r="BP30" s="125" t="e">
        <f>TRUNC(AY30*#REF!*CL30)/1000</f>
        <v>#REF!</v>
      </c>
      <c r="BQ30" s="125" t="e">
        <f>TRUNC((SUM(BK30:BP30)+SUM(BS30:BT30))*AG30)</f>
        <v>#REF!</v>
      </c>
      <c r="BR30" s="125"/>
      <c r="BS30" s="125" t="e">
        <f>TRUNC(#REF!*((V30*CG30)+(U30*CF30)+(W30*CI30)+(X30*CK30)))/1000</f>
        <v>#REF!</v>
      </c>
      <c r="BT30" s="125" t="e">
        <f>TRUNC(#REF!*((AC30*CG30)+(AD30*CH30)+(AE30*CI30)+(AF30*CK30))/1000)</f>
        <v>#REF!</v>
      </c>
      <c r="BU30" s="125" t="e">
        <f>+BK30*#REF!</f>
        <v>#REF!</v>
      </c>
      <c r="BV30" s="125" t="e">
        <f>SUM(BK30:BU30)*#REF!</f>
        <v>#REF!</v>
      </c>
      <c r="BW30" s="125" t="e">
        <f>TRUNC(SUM(BK30:BV30))</f>
        <v>#REF!</v>
      </c>
      <c r="BX30" s="125" t="e">
        <f>+BK30+BL30+BM30+BN30+BP30+BR30+BS30+BO30</f>
        <v>#REF!</v>
      </c>
      <c r="BY30" s="125" t="e">
        <f>+BW30-BX30-BZ30</f>
        <v>#REF!</v>
      </c>
      <c r="BZ30" s="125" t="e">
        <f>+BU30+BV30</f>
        <v>#REF!</v>
      </c>
      <c r="CA30" s="62">
        <f>AH30</f>
        <v>42</v>
      </c>
      <c r="CB30" s="113" t="e">
        <f>IF($CA30&gt;0,VLOOKUP($CA30,#REF!,2)*#REF!,0)</f>
        <v>#REF!</v>
      </c>
      <c r="CC30" s="113" t="e">
        <f>IF($CA30&gt;0,VLOOKUP($CA30,#REF!,3)*#REF!,0)</f>
        <v>#REF!</v>
      </c>
      <c r="CD30" s="113" t="e">
        <f>IF($CA30&gt;0,VLOOKUP($CA30,#REF!,4)*#REF!,0)</f>
        <v>#REF!</v>
      </c>
      <c r="CE30" s="113" t="e">
        <f>IF($CA30&gt;0,VLOOKUP($CA30,#REF!,5)*#REF!,0)</f>
        <v>#REF!</v>
      </c>
      <c r="CF30" s="113" t="e">
        <f>IF($CA30&gt;0,VLOOKUP($CA30,#REF!,6)*#REF!,0)</f>
        <v>#REF!</v>
      </c>
      <c r="CG30" s="113" t="e">
        <f>IF($CA30&gt;0,VLOOKUP($CA30,#REF!,7)*#REF!,0)</f>
        <v>#REF!</v>
      </c>
      <c r="CH30" s="170" t="e">
        <f>+(CG30+CI30)/2</f>
        <v>#REF!</v>
      </c>
      <c r="CI30" s="113" t="e">
        <f>IF($CA30&gt;0,VLOOKUP($CA30,#REF!,8)*#REF!,0)</f>
        <v>#REF!</v>
      </c>
      <c r="CJ30" s="113" t="e">
        <f>IF($CA30&gt;0,VLOOKUP($CA30,#REF!,9)*#REF!,0)</f>
        <v>#REF!</v>
      </c>
      <c r="CK30" s="113" t="e">
        <f>IF($CA30&gt;0,VLOOKUP($CA30,#REF!,10)*#REF!,0)</f>
        <v>#REF!</v>
      </c>
      <c r="CL30" s="113" t="e">
        <f>IF($CA30&gt;0,VLOOKUP($CA30,#REF!,11)*#REF!,0)</f>
        <v>#REF!</v>
      </c>
      <c r="CM30" s="113" t="e">
        <f>IF($CA30&gt;0,VLOOKUP($CA30,#REF!,12)*#REF!,0)</f>
        <v>#REF!</v>
      </c>
      <c r="CN30" s="113" t="e">
        <f>IF($CA30&gt;0,VLOOKUP($CA30,#REF!,13)*#REF!,0)</f>
        <v>#REF!</v>
      </c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</row>
    <row r="31" spans="1:183">
      <c r="A31" s="191"/>
      <c r="B31" s="172"/>
      <c r="C31" s="102"/>
      <c r="D31" s="68"/>
      <c r="E31" s="68"/>
      <c r="F31" s="68"/>
      <c r="G31" s="68"/>
      <c r="H31" s="69"/>
      <c r="I31" s="68"/>
      <c r="J31" s="68"/>
      <c r="K31" s="135"/>
      <c r="L31" s="73"/>
      <c r="M31" s="73"/>
      <c r="N31" s="73"/>
      <c r="O31" s="73"/>
      <c r="P31" s="93"/>
      <c r="Q31" s="73"/>
      <c r="R31" s="73"/>
      <c r="S31" s="73"/>
      <c r="T31" s="151"/>
      <c r="U31" s="75"/>
      <c r="V31" s="75"/>
      <c r="W31" s="75"/>
      <c r="X31" s="77"/>
      <c r="Y31" s="152"/>
      <c r="Z31" s="192"/>
      <c r="AA31" s="77"/>
      <c r="AB31" s="193"/>
      <c r="AC31" s="194"/>
      <c r="AD31" s="75"/>
      <c r="AE31" s="77"/>
      <c r="AF31" s="77"/>
      <c r="AG31" s="195">
        <v>0</v>
      </c>
      <c r="AH31" s="196"/>
      <c r="AI31" s="197"/>
      <c r="AJ31" s="198"/>
      <c r="AK31" s="6"/>
      <c r="AL31" s="6"/>
      <c r="AM31" s="157"/>
      <c r="AN31" s="102"/>
      <c r="AO31" s="89"/>
      <c r="AP31" s="159"/>
      <c r="AQ31" s="159"/>
      <c r="AR31" s="159"/>
      <c r="AS31" s="159"/>
      <c r="AT31" s="159"/>
      <c r="AU31" s="159"/>
      <c r="AV31" s="90"/>
      <c r="AW31" s="8"/>
      <c r="AX31" s="8"/>
      <c r="AY31" s="161"/>
      <c r="AZ31" s="161"/>
      <c r="BA31" s="161"/>
      <c r="BB31" s="162"/>
      <c r="BC31" s="163"/>
      <c r="BD31" s="164"/>
      <c r="BE31" s="164"/>
      <c r="BF31" s="164"/>
      <c r="BG31" s="164"/>
      <c r="BH31" s="165"/>
      <c r="BI31" s="4"/>
      <c r="BJ31" s="5"/>
      <c r="BK31" s="161"/>
      <c r="BL31" s="161"/>
      <c r="BM31" s="161"/>
      <c r="BN31" s="161"/>
      <c r="BO31" s="161"/>
      <c r="BP31" s="161"/>
      <c r="BQ31" s="161"/>
      <c r="BR31" s="161"/>
      <c r="BS31" s="161"/>
      <c r="BT31" s="161"/>
      <c r="BU31" s="161"/>
      <c r="BV31" s="161"/>
      <c r="BW31" s="161"/>
      <c r="BX31" s="161"/>
      <c r="BY31" s="161"/>
      <c r="BZ31" s="161"/>
      <c r="CA31" s="4"/>
      <c r="CB31" s="164"/>
      <c r="CC31" s="164"/>
      <c r="CD31" s="164"/>
      <c r="CE31" s="164"/>
      <c r="CF31" s="164"/>
      <c r="CG31" s="164"/>
      <c r="CH31" s="77"/>
      <c r="CI31" s="164"/>
      <c r="CJ31" s="164"/>
      <c r="CK31" s="164"/>
      <c r="CL31" s="164"/>
      <c r="CM31" s="164"/>
      <c r="CN31" s="164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</row>
    <row r="32" spans="1:183">
      <c r="A32" s="191" t="s">
        <v>113</v>
      </c>
      <c r="B32" s="172" t="s">
        <v>106</v>
      </c>
      <c r="C32" s="102" t="s">
        <v>107</v>
      </c>
      <c r="D32" s="68" t="s">
        <v>114</v>
      </c>
      <c r="E32" s="68"/>
      <c r="F32" s="68"/>
      <c r="G32" s="68"/>
      <c r="H32" s="69"/>
      <c r="I32" s="68"/>
      <c r="J32" s="68"/>
      <c r="K32" s="135"/>
      <c r="L32" s="73"/>
      <c r="M32" s="73"/>
      <c r="N32" s="73"/>
      <c r="O32" s="73"/>
      <c r="P32" s="93"/>
      <c r="Q32" s="73"/>
      <c r="R32" s="73"/>
      <c r="S32" s="73"/>
      <c r="T32" s="151" t="e">
        <f>+SUM(H32:K32)*3/AI32</f>
        <v>#DIV/0!</v>
      </c>
      <c r="U32" s="75"/>
      <c r="V32" s="75"/>
      <c r="W32" s="75"/>
      <c r="X32" s="77"/>
      <c r="Y32" s="152"/>
      <c r="Z32" s="192"/>
      <c r="AA32" s="77"/>
      <c r="AB32" s="193"/>
      <c r="AC32" s="194"/>
      <c r="AD32" s="75"/>
      <c r="AE32" s="77"/>
      <c r="AF32" s="77"/>
      <c r="AG32" s="195">
        <v>0</v>
      </c>
      <c r="AH32" s="196"/>
      <c r="AI32" s="197">
        <f>+BC32</f>
        <v>0</v>
      </c>
      <c r="AJ32" s="198">
        <v>35.5</v>
      </c>
      <c r="AK32" s="6"/>
      <c r="AL32" s="6"/>
      <c r="AM32" s="157"/>
      <c r="AN32" s="102" t="e">
        <f>BW32</f>
        <v>#REF!</v>
      </c>
      <c r="AO32" s="89"/>
      <c r="AP32" s="159"/>
      <c r="AQ32" s="159"/>
      <c r="AR32" s="159"/>
      <c r="AS32" s="159"/>
      <c r="AT32" s="159"/>
      <c r="AU32" s="159"/>
      <c r="AV32" s="90">
        <f>((D32*L32)+(E32*M32)+(F32*N32)+(G32*O32))*5+((H32*P32)+(I32*Q32)+(J32*R32)+(K32*S32))*2</f>
        <v>0</v>
      </c>
      <c r="AW32" s="8">
        <f t="array" ref="AW32">+SUM(E32:G32*M32:O32)</f>
        <v>0</v>
      </c>
      <c r="AX32" s="8">
        <f t="array" ref="AX32">+SUM(H32:K32*P32:S32)*2</f>
        <v>0</v>
      </c>
      <c r="AY32" s="161">
        <f>((E32*AO32)+(F32*AP32)+(G32*AQ32))*5+((I32*AR32)+(J32*AS32)+(K32*AT32))*2</f>
        <v>0</v>
      </c>
      <c r="AZ32" s="161">
        <f>((J32*R32)+(K32*AU32)+(I32*Q32)+(H32*P32))*2</f>
        <v>0</v>
      </c>
      <c r="BA32" s="161" t="e">
        <f>((J32*R32)+(K32*S32)+(I32*Q32)+(H32*P32))*#REF!</f>
        <v>#REF!</v>
      </c>
      <c r="BB32" s="162">
        <v>0</v>
      </c>
      <c r="BC32" s="163">
        <f>AV32/AJ32</f>
        <v>0</v>
      </c>
      <c r="BD32" s="164">
        <f>+AV32</f>
        <v>0</v>
      </c>
      <c r="BE32" s="164">
        <f>+AG32*BD32</f>
        <v>0</v>
      </c>
      <c r="BF32" s="164">
        <f>+(AW32*AK32*AM32+AX32/2*AL32*AM32)/52+AB32+Y32*7*(AK32+AL32)/374</f>
        <v>0</v>
      </c>
      <c r="BG32" s="164">
        <f>SUM(BD32:BF32)</f>
        <v>0</v>
      </c>
      <c r="BH32" s="165" t="e">
        <f>+(BC32-AI32)/AI32*AJ32</f>
        <v>#DIV/0!</v>
      </c>
      <c r="BI32" s="4"/>
      <c r="BJ32" s="5" t="str">
        <f>C32</f>
        <v>Sy pl</v>
      </c>
      <c r="BK32" s="161">
        <f>TRUNC(CB32*AI32/1000)</f>
        <v>0</v>
      </c>
      <c r="BL32" s="161" t="e">
        <f>TRUNC(#REF!*Z32/1000)</f>
        <v>#REF!</v>
      </c>
      <c r="BM32" s="161" t="e">
        <f>TRUNC(#REF!*AA32/1000)</f>
        <v>#REF!</v>
      </c>
      <c r="BN32" s="161" t="e">
        <f>TRUNC(#REF!*AZ32*#REF!)/1000</f>
        <v>#REF!</v>
      </c>
      <c r="BO32" s="161" t="e">
        <f>IF(AJ32=35.5,TRUNC(BA32*CN32*(1-BB32)/1000),TRUNC(BA32*CN32*(1-BB32)/1000))</f>
        <v>#REF!</v>
      </c>
      <c r="BP32" s="161" t="e">
        <f>TRUNC(AY32*#REF!*CL32)/1000</f>
        <v>#REF!</v>
      </c>
      <c r="BQ32" s="161" t="e">
        <f>TRUNC((SUM(BK32:BP32)+SUM(BS32:BT32))*AG32)</f>
        <v>#REF!</v>
      </c>
      <c r="BR32" s="161"/>
      <c r="BS32" s="161" t="e">
        <f>TRUNC(#REF!*((V32*CG32)+(U32*CF32)+(W32*CI32)+(X32*CK32)))/1000</f>
        <v>#REF!</v>
      </c>
      <c r="BT32" s="161" t="e">
        <f>TRUNC(#REF!*((AC32*CG32)+(AD32*CH32)+(AE32*CI32)+(AF32*CK32))/1000)</f>
        <v>#REF!</v>
      </c>
      <c r="BU32" s="161" t="e">
        <f>+BK32*#REF!</f>
        <v>#REF!</v>
      </c>
      <c r="BV32" s="161" t="e">
        <f>SUM(BK32:BU32)*#REF!</f>
        <v>#REF!</v>
      </c>
      <c r="BW32" s="161" t="e">
        <f>TRUNC(SUM(BK32:BV32))</f>
        <v>#REF!</v>
      </c>
      <c r="BX32" s="161" t="e">
        <f>+BK32+BL32+BM32+BN32+BP32+BR32+BS32+BO32</f>
        <v>#REF!</v>
      </c>
      <c r="BY32" s="161" t="e">
        <f>+BW32-BX32-BZ32</f>
        <v>#REF!</v>
      </c>
      <c r="BZ32" s="161" t="e">
        <f>+BU32+BV32</f>
        <v>#REF!</v>
      </c>
      <c r="CA32" s="4">
        <f>AH32</f>
        <v>0</v>
      </c>
      <c r="CB32" s="164">
        <f>IF($CA32&gt;0,VLOOKUP($CA32,#REF!,2)*#REF!,0)</f>
        <v>0</v>
      </c>
      <c r="CC32" s="164">
        <f>IF($CA32&gt;0,VLOOKUP($CA32,#REF!,3)*#REF!,0)</f>
        <v>0</v>
      </c>
      <c r="CD32" s="164">
        <f>IF($CA32&gt;0,VLOOKUP($CA32,#REF!,4)*#REF!,0)</f>
        <v>0</v>
      </c>
      <c r="CE32" s="164">
        <f>IF($CA32&gt;0,VLOOKUP($CA32,#REF!,5)*#REF!,0)</f>
        <v>0</v>
      </c>
      <c r="CF32" s="164">
        <f>IF($CA32&gt;0,VLOOKUP($CA32,#REF!,6)*#REF!,0)</f>
        <v>0</v>
      </c>
      <c r="CG32" s="164">
        <f>IF($CA32&gt;0,VLOOKUP($CA32,#REF!,7)*#REF!,0)</f>
        <v>0</v>
      </c>
      <c r="CH32" s="77">
        <f>+(CG32+CI32)/2</f>
        <v>0</v>
      </c>
      <c r="CI32" s="164">
        <f>IF($CA32&gt;0,VLOOKUP($CA32,#REF!,8)*#REF!,0)</f>
        <v>0</v>
      </c>
      <c r="CJ32" s="164">
        <f>IF($CA32&gt;0,VLOOKUP($CA32,#REF!,9)*#REF!,0)</f>
        <v>0</v>
      </c>
      <c r="CK32" s="164">
        <f>IF($CA32&gt;0,VLOOKUP($CA32,#REF!,10)*#REF!,0)</f>
        <v>0</v>
      </c>
      <c r="CL32" s="164">
        <f>IF($CA32&gt;0,VLOOKUP($CA32,#REF!,11)*#REF!,0)</f>
        <v>0</v>
      </c>
      <c r="CM32" s="164">
        <f>IF($CA32&gt;0,VLOOKUP($CA32,#REF!,12)*#REF!,0)</f>
        <v>0</v>
      </c>
      <c r="CN32" s="164">
        <f>IF($CA32&gt;0,VLOOKUP($CA32,#REF!,13)*#REF!,0)</f>
        <v>0</v>
      </c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</row>
    <row r="33" spans="1:183">
      <c r="A33" s="191"/>
      <c r="B33" s="172" t="s">
        <v>106</v>
      </c>
      <c r="C33" s="102" t="s">
        <v>115</v>
      </c>
      <c r="D33" s="68"/>
      <c r="E33" s="68"/>
      <c r="F33" s="68"/>
      <c r="G33" s="68"/>
      <c r="H33" s="69"/>
      <c r="I33" s="68"/>
      <c r="J33" s="68"/>
      <c r="K33" s="135"/>
      <c r="L33" s="73"/>
      <c r="M33" s="73"/>
      <c r="N33" s="73"/>
      <c r="O33" s="73"/>
      <c r="P33" s="93"/>
      <c r="Q33" s="73"/>
      <c r="R33" s="73"/>
      <c r="S33" s="73"/>
      <c r="T33" s="151" t="e">
        <f>+SUM(H33:K33)*3/AI33</f>
        <v>#DIV/0!</v>
      </c>
      <c r="U33" s="75"/>
      <c r="V33" s="75"/>
      <c r="W33" s="75"/>
      <c r="X33" s="77"/>
      <c r="Y33" s="152"/>
      <c r="Z33" s="192"/>
      <c r="AA33" s="77"/>
      <c r="AB33" s="193"/>
      <c r="AC33" s="194"/>
      <c r="AD33" s="75"/>
      <c r="AE33" s="77"/>
      <c r="AF33" s="77"/>
      <c r="AG33" s="195">
        <v>0</v>
      </c>
      <c r="AH33" s="196"/>
      <c r="AI33" s="197">
        <f>+BC33</f>
        <v>0</v>
      </c>
      <c r="AJ33" s="198">
        <v>35.5</v>
      </c>
      <c r="AK33" s="6"/>
      <c r="AL33" s="6"/>
      <c r="AM33" s="157"/>
      <c r="AN33" s="102" t="e">
        <f>BW33</f>
        <v>#REF!</v>
      </c>
      <c r="AO33" s="89"/>
      <c r="AP33" s="159"/>
      <c r="AQ33" s="159"/>
      <c r="AR33" s="159"/>
      <c r="AS33" s="159"/>
      <c r="AT33" s="159"/>
      <c r="AU33" s="159"/>
      <c r="AV33" s="90">
        <f>((D33*L33)+(E33*M33)+(F33*N33)+(G33*O33))*5+((H33*P33)+(I33*Q33)+(J33*R33)+(K33*S33))*2</f>
        <v>0</v>
      </c>
      <c r="AW33" s="8">
        <f t="array" ref="AW33">+SUM(E33:G33*M33:O33)</f>
        <v>0</v>
      </c>
      <c r="AX33" s="8">
        <f t="array" ref="AX33">+SUM(H33:K33*P33:S33)*2</f>
        <v>0</v>
      </c>
      <c r="AY33" s="161">
        <f>((E33*AO33)+(F33*AP33)+(G33*AQ33))*5+((I33*AR33)+(J33*AS33)+(K33*AT33))*2</f>
        <v>0</v>
      </c>
      <c r="AZ33" s="161">
        <f>((J33*R33)+(K33*AU33)+(I33*Q33)+(H33*P33))*2</f>
        <v>0</v>
      </c>
      <c r="BA33" s="161" t="e">
        <f>((J33*R33)+(K33*S33)+(I33*Q33)+(H33*P33))*#REF!</f>
        <v>#REF!</v>
      </c>
      <c r="BB33" s="162">
        <v>0</v>
      </c>
      <c r="BC33" s="163">
        <f>AV33/AJ33</f>
        <v>0</v>
      </c>
      <c r="BD33" s="164">
        <f>+AV33</f>
        <v>0</v>
      </c>
      <c r="BE33" s="164">
        <f>+AG33*BD33</f>
        <v>0</v>
      </c>
      <c r="BF33" s="164">
        <f>+(AW33*AK33*AM33+AX33/2*AL33*AM33)/52+AB33+Y33*7*(AK33+AL33)/374</f>
        <v>0</v>
      </c>
      <c r="BG33" s="164">
        <f>SUM(BD33:BF33)</f>
        <v>0</v>
      </c>
      <c r="BH33" s="165" t="e">
        <f>+(BC33-AI33)/AI33*AJ33</f>
        <v>#DIV/0!</v>
      </c>
      <c r="BI33" s="4"/>
      <c r="BJ33" s="5" t="str">
        <f>C33</f>
        <v>hjelpepleier</v>
      </c>
      <c r="BK33" s="161">
        <f>TRUNC(CB33*AI33/1000)</f>
        <v>0</v>
      </c>
      <c r="BL33" s="161" t="e">
        <f>TRUNC(#REF!*Z33/1000)</f>
        <v>#REF!</v>
      </c>
      <c r="BM33" s="161" t="e">
        <f>TRUNC(#REF!*AA33/1000)</f>
        <v>#REF!</v>
      </c>
      <c r="BN33" s="161" t="e">
        <f>TRUNC(#REF!*AZ33*#REF!)/1000</f>
        <v>#REF!</v>
      </c>
      <c r="BO33" s="161" t="e">
        <f>IF(AJ33=35.5,TRUNC(BA33*CN33*(1-BB33)/1000),TRUNC(BA33*CN33*(1-BB33)/1000))</f>
        <v>#REF!</v>
      </c>
      <c r="BP33" s="161" t="e">
        <f>TRUNC(AY33*#REF!*CL33)/1000</f>
        <v>#REF!</v>
      </c>
      <c r="BQ33" s="161" t="e">
        <f>TRUNC((SUM(BK33:BP33)+SUM(BS33:BT33))*AG33)</f>
        <v>#REF!</v>
      </c>
      <c r="BR33" s="161"/>
      <c r="BS33" s="161" t="e">
        <f>TRUNC(#REF!*((V33*CG33)+(U33*CF33)+(W33*CI33)+(X33*CK33)))/1000</f>
        <v>#REF!</v>
      </c>
      <c r="BT33" s="161" t="e">
        <f>TRUNC(#REF!*((AC33*CG33)+(AD33*CH33)+(AE33*CI33)+(AF33*CK33))/1000)</f>
        <v>#REF!</v>
      </c>
      <c r="BU33" s="161" t="e">
        <f>+BK33*#REF!</f>
        <v>#REF!</v>
      </c>
      <c r="BV33" s="161" t="e">
        <f>SUM(BK33:BU33)*#REF!</f>
        <v>#REF!</v>
      </c>
      <c r="BW33" s="161" t="e">
        <f>TRUNC(SUM(BK33:BV33))</f>
        <v>#REF!</v>
      </c>
      <c r="BX33" s="161" t="e">
        <f>+BK33+BL33+BM33+BN33+BP33+BR33+BS33+BO33</f>
        <v>#REF!</v>
      </c>
      <c r="BY33" s="161" t="e">
        <f>+BW33-BX33-BZ33</f>
        <v>#REF!</v>
      </c>
      <c r="BZ33" s="161" t="e">
        <f>+BU33+BV33</f>
        <v>#REF!</v>
      </c>
      <c r="CA33" s="4">
        <f>AH33</f>
        <v>0</v>
      </c>
      <c r="CB33" s="164">
        <f>IF($CA33&gt;0,VLOOKUP($CA33,#REF!,2)*#REF!,0)</f>
        <v>0</v>
      </c>
      <c r="CC33" s="164">
        <f>IF($CA33&gt;0,VLOOKUP($CA33,#REF!,3)*#REF!,0)</f>
        <v>0</v>
      </c>
      <c r="CD33" s="164">
        <f>IF($CA33&gt;0,VLOOKUP($CA33,#REF!,4)*#REF!,0)</f>
        <v>0</v>
      </c>
      <c r="CE33" s="164">
        <f>IF($CA33&gt;0,VLOOKUP($CA33,#REF!,5)*#REF!,0)</f>
        <v>0</v>
      </c>
      <c r="CF33" s="164">
        <f>IF($CA33&gt;0,VLOOKUP($CA33,#REF!,6)*#REF!,0)</f>
        <v>0</v>
      </c>
      <c r="CG33" s="164">
        <f>IF($CA33&gt;0,VLOOKUP($CA33,#REF!,7)*#REF!,0)</f>
        <v>0</v>
      </c>
      <c r="CH33" s="77">
        <f>+(CG33+CI33)/2</f>
        <v>0</v>
      </c>
      <c r="CI33" s="164">
        <f>IF($CA33&gt;0,VLOOKUP($CA33,#REF!,8)*#REF!,0)</f>
        <v>0</v>
      </c>
      <c r="CJ33" s="164">
        <f>IF($CA33&gt;0,VLOOKUP($CA33,#REF!,9)*#REF!,0)</f>
        <v>0</v>
      </c>
      <c r="CK33" s="164">
        <f>IF($CA33&gt;0,VLOOKUP($CA33,#REF!,10)*#REF!,0)</f>
        <v>0</v>
      </c>
      <c r="CL33" s="164">
        <f>IF($CA33&gt;0,VLOOKUP($CA33,#REF!,11)*#REF!,0)</f>
        <v>0</v>
      </c>
      <c r="CM33" s="164">
        <f>IF($CA33&gt;0,VLOOKUP($CA33,#REF!,12)*#REF!,0)</f>
        <v>0</v>
      </c>
      <c r="CN33" s="164">
        <f>IF($CA33&gt;0,VLOOKUP($CA33,#REF!,13)*#REF!,0)</f>
        <v>0</v>
      </c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</row>
    <row r="34" spans="1:183" s="64" customFormat="1">
      <c r="A34" s="191"/>
      <c r="B34" s="183"/>
      <c r="C34" s="46" t="s">
        <v>116</v>
      </c>
      <c r="D34" s="106"/>
      <c r="E34" s="106"/>
      <c r="F34" s="106"/>
      <c r="G34" s="106"/>
      <c r="H34" s="105"/>
      <c r="I34" s="106"/>
      <c r="J34" s="106"/>
      <c r="K34" s="136"/>
      <c r="L34" s="108"/>
      <c r="M34" s="108"/>
      <c r="N34" s="108"/>
      <c r="O34" s="108"/>
      <c r="P34" s="107"/>
      <c r="Q34" s="108"/>
      <c r="R34" s="108"/>
      <c r="S34" s="108"/>
      <c r="T34" s="140" t="e">
        <f>+SUM(H34:K34)*3/AI34</f>
        <v>#DIV/0!</v>
      </c>
      <c r="U34" s="111"/>
      <c r="V34" s="111"/>
      <c r="W34" s="111"/>
      <c r="X34" s="113"/>
      <c r="Y34" s="141"/>
      <c r="Z34" s="184"/>
      <c r="AA34" s="113"/>
      <c r="AB34" s="185"/>
      <c r="AC34" s="186"/>
      <c r="AD34" s="111"/>
      <c r="AE34" s="113"/>
      <c r="AF34" s="113"/>
      <c r="AG34" s="187">
        <f>+AG30</f>
        <v>0</v>
      </c>
      <c r="AH34" s="188"/>
      <c r="AI34" s="189">
        <f>+BC34</f>
        <v>0</v>
      </c>
      <c r="AJ34" s="190">
        <v>37.5</v>
      </c>
      <c r="AK34" s="63"/>
      <c r="AL34" s="63"/>
      <c r="AM34" s="147"/>
      <c r="AN34" s="46" t="e">
        <f>BW34</f>
        <v>#REF!</v>
      </c>
      <c r="AO34" s="123"/>
      <c r="AP34" s="123"/>
      <c r="AQ34" s="123"/>
      <c r="AR34" s="123"/>
      <c r="AS34" s="123"/>
      <c r="AT34" s="123"/>
      <c r="AU34" s="123"/>
      <c r="AV34" s="124">
        <f>((D34*L34)+(E34*M34)+(F34*N34)+(G34*O34))*5+((H34*P34)+(I34*Q34)+(J34*R34)+(K34*S34))*2</f>
        <v>0</v>
      </c>
      <c r="AW34" s="125">
        <f t="array" ref="AW34">+SUM(E34:G34*M34:O34)</f>
        <v>0</v>
      </c>
      <c r="AX34" s="125">
        <f t="array" ref="AX34">+SUM(H34:K34*P34:S34)*2</f>
        <v>0</v>
      </c>
      <c r="AY34" s="125">
        <f>((E34*AO34)+(F34*AP34)+(G34*AQ34))*5+((I34*AR34)+(J34*AS34)+(K34*AT34))*2</f>
        <v>0</v>
      </c>
      <c r="AZ34" s="125">
        <f>((J34*R34)+(K34*AU34)+(I34*Q34)+(H34*P34))*2</f>
        <v>0</v>
      </c>
      <c r="BA34" s="125" t="e">
        <f>((J34*R34)+(K34*S34)+(I34*Q34)+(H34*P34))*#REF!</f>
        <v>#REF!</v>
      </c>
      <c r="BB34" s="118">
        <v>0</v>
      </c>
      <c r="BC34" s="126">
        <f>AV34/AJ34</f>
        <v>0</v>
      </c>
      <c r="BD34" s="113">
        <f>+AV34</f>
        <v>0</v>
      </c>
      <c r="BE34" s="113">
        <f>+AG34*BD34</f>
        <v>0</v>
      </c>
      <c r="BF34" s="113">
        <f>+(AW34*AK34*AM34+AX34/2*AL34*AM34)/52+AB34+Y34*7*(AK34+AL34)/374</f>
        <v>0</v>
      </c>
      <c r="BG34" s="113">
        <f>SUM(BD34:BF34)</f>
        <v>0</v>
      </c>
      <c r="BH34" s="127" t="e">
        <f>+(BC34-AI34)/AI34*AJ34</f>
        <v>#DIV/0!</v>
      </c>
      <c r="BI34" s="62"/>
      <c r="BJ34" s="63" t="str">
        <f>C34</f>
        <v>sekr\avd.sjuk</v>
      </c>
      <c r="BK34" s="125">
        <f>TRUNC(CB34*AI34/1000)</f>
        <v>0</v>
      </c>
      <c r="BL34" s="125" t="e">
        <f>TRUNC(#REF!*Z34/1000)</f>
        <v>#REF!</v>
      </c>
      <c r="BM34" s="125" t="e">
        <f>TRUNC(#REF!*AA34/1000)</f>
        <v>#REF!</v>
      </c>
      <c r="BN34" s="125" t="e">
        <f>TRUNC(#REF!*AZ34*#REF!)/1000</f>
        <v>#REF!</v>
      </c>
      <c r="BO34" s="125" t="e">
        <f>IF(AJ34=35.5,TRUNC(BA34*CN34*(1-BB34)/1000),TRUNC(BA34*CN34*(1-BB34)/1000))</f>
        <v>#REF!</v>
      </c>
      <c r="BP34" s="125" t="e">
        <f>TRUNC(AY34*#REF!*CL34)/1000</f>
        <v>#REF!</v>
      </c>
      <c r="BQ34" s="125" t="e">
        <f>TRUNC((SUM(BK34:BP34)+SUM(BS34:BT34))*AG34)</f>
        <v>#REF!</v>
      </c>
      <c r="BR34" s="125"/>
      <c r="BS34" s="125" t="e">
        <f>TRUNC(#REF!*((V34*CG34)+(U34*CF34)+(W34*CI34)+(X34*CK34)))/1000</f>
        <v>#REF!</v>
      </c>
      <c r="BT34" s="125" t="e">
        <f>TRUNC(#REF!*((AC34*CG34)+(AD34*CH34)+(AE34*CI34)+(AF34*CK34))/1000)</f>
        <v>#REF!</v>
      </c>
      <c r="BU34" s="125" t="e">
        <f>+BK34*#REF!</f>
        <v>#REF!</v>
      </c>
      <c r="BV34" s="125" t="e">
        <f>SUM(BK34:BU34)*#REF!</f>
        <v>#REF!</v>
      </c>
      <c r="BW34" s="125" t="e">
        <f>TRUNC(SUM(BK34:BV34))</f>
        <v>#REF!</v>
      </c>
      <c r="BX34" s="125" t="e">
        <f>+BK34+BL34+BM34+BN34+BP34+BR34+BS34+BO34</f>
        <v>#REF!</v>
      </c>
      <c r="BY34" s="125" t="e">
        <f>+BW34-BX34-BZ34</f>
        <v>#REF!</v>
      </c>
      <c r="BZ34" s="125" t="e">
        <f>+BU34+BV34</f>
        <v>#REF!</v>
      </c>
      <c r="CA34" s="62">
        <f>AH34</f>
        <v>0</v>
      </c>
      <c r="CB34" s="113">
        <f>IF($CA34&gt;0,VLOOKUP($CA34,#REF!,2)*#REF!,0)</f>
        <v>0</v>
      </c>
      <c r="CC34" s="113">
        <f>IF($CA34&gt;0,VLOOKUP($CA34,#REF!,3)*#REF!,0)</f>
        <v>0</v>
      </c>
      <c r="CD34" s="113">
        <f>IF($CA34&gt;0,VLOOKUP($CA34,#REF!,4)*#REF!,0)</f>
        <v>0</v>
      </c>
      <c r="CE34" s="113">
        <f>IF($CA34&gt;0,VLOOKUP($CA34,#REF!,5)*#REF!,0)</f>
        <v>0</v>
      </c>
      <c r="CF34" s="113">
        <f>IF($CA34&gt;0,VLOOKUP($CA34,#REF!,6)*#REF!,0)</f>
        <v>0</v>
      </c>
      <c r="CG34" s="113">
        <f>IF($CA34&gt;0,VLOOKUP($CA34,#REF!,7)*#REF!,0)</f>
        <v>0</v>
      </c>
      <c r="CH34" s="170">
        <f>+(CG34+CI34)/2</f>
        <v>0</v>
      </c>
      <c r="CI34" s="113">
        <f>IF($CA34&gt;0,VLOOKUP($CA34,#REF!,8)*#REF!,0)</f>
        <v>0</v>
      </c>
      <c r="CJ34" s="113">
        <f>IF($CA34&gt;0,VLOOKUP($CA34,#REF!,9)*#REF!,0)</f>
        <v>0</v>
      </c>
      <c r="CK34" s="113">
        <f>IF($CA34&gt;0,VLOOKUP($CA34,#REF!,10)*#REF!,0)</f>
        <v>0</v>
      </c>
      <c r="CL34" s="113">
        <f>IF($CA34&gt;0,VLOOKUP($CA34,#REF!,11)*#REF!,0)</f>
        <v>0</v>
      </c>
      <c r="CM34" s="113">
        <f>IF($CA34&gt;0,VLOOKUP($CA34,#REF!,12)*#REF!,0)</f>
        <v>0</v>
      </c>
      <c r="CN34" s="113">
        <f>IF($CA34&gt;0,VLOOKUP($CA34,#REF!,13)*#REF!,0)</f>
        <v>0</v>
      </c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</row>
    <row r="35" spans="1:183" s="206" customFormat="1">
      <c r="A35" s="191"/>
      <c r="B35" s="199" t="s">
        <v>99</v>
      </c>
      <c r="C35" s="88" t="s">
        <v>100</v>
      </c>
      <c r="D35" s="174">
        <v>2.6549999999999998</v>
      </c>
      <c r="E35" s="174">
        <v>1</v>
      </c>
      <c r="F35" s="174"/>
      <c r="G35" s="174">
        <v>1</v>
      </c>
      <c r="H35" s="173">
        <v>1</v>
      </c>
      <c r="I35" s="174">
        <v>1</v>
      </c>
      <c r="J35" s="174"/>
      <c r="K35" s="175">
        <v>1</v>
      </c>
      <c r="L35" s="71">
        <v>8.07</v>
      </c>
      <c r="M35" s="71">
        <v>2.25</v>
      </c>
      <c r="N35" s="71"/>
      <c r="O35" s="71">
        <v>2.5</v>
      </c>
      <c r="P35" s="70">
        <v>4.38</v>
      </c>
      <c r="Q35" s="71">
        <v>2.12</v>
      </c>
      <c r="R35" s="71"/>
      <c r="S35" s="71">
        <v>2.5</v>
      </c>
      <c r="T35" s="74">
        <f>+BH35+AJ35</f>
        <v>49.626416666666671</v>
      </c>
      <c r="U35" s="80">
        <f>+IF(BH35&lt;$D$75,BH35*AI35,$D$75*$AI35)</f>
        <v>0</v>
      </c>
      <c r="V35" s="80">
        <f>+IF(U35&lt;$D$75*$AI35,0,IF(BH35&lt;$D$76,BH35*AI35-U35,($D$76-$D$75)*AI35))</f>
        <v>0</v>
      </c>
      <c r="W35" s="80">
        <f>+IF(V35&lt;($D$76-$D$75)*$AI35,0,IF(BH35&gt;$D$77,($D$77-$D$76)*$AI35,BH35*$AI35-U35-V35))</f>
        <v>0</v>
      </c>
      <c r="X35" s="80">
        <f>+IF($W35&lt;($D$77-$D$76)*$AI35,0,BH35*AI35-W35-U35-V35)</f>
        <v>42.379250000000013</v>
      </c>
      <c r="Y35" s="76"/>
      <c r="Z35" s="176">
        <f>+IF(U35&gt;0,120*AI35,0)</f>
        <v>0</v>
      </c>
      <c r="AA35" s="44"/>
      <c r="AB35" s="177"/>
      <c r="AC35" s="80"/>
      <c r="AD35" s="80"/>
      <c r="AE35" s="81"/>
      <c r="AF35" s="81">
        <f>(AW35*AK35*AM35+AZ35/2*AL35*AM35)/52</f>
        <v>0</v>
      </c>
      <c r="AG35" s="178"/>
      <c r="AH35" s="200">
        <v>56</v>
      </c>
      <c r="AI35" s="70">
        <v>3</v>
      </c>
      <c r="AJ35" s="72">
        <v>35.5</v>
      </c>
      <c r="AK35" s="201"/>
      <c r="AL35" s="201"/>
      <c r="AM35" s="180"/>
      <c r="AN35" s="88" t="e">
        <f>BW35</f>
        <v>#REF!</v>
      </c>
      <c r="AO35" s="202"/>
      <c r="AP35" s="202"/>
      <c r="AQ35" s="202"/>
      <c r="AR35" s="202"/>
      <c r="AS35" s="202"/>
      <c r="AT35" s="202"/>
      <c r="AU35" s="202"/>
      <c r="AV35" s="181">
        <f>((D35*L35)+(E35*M35)+(F35*N35)+(G35*O35))*5+((H35*P35)+(I35*Q35)+(J35*R35)+(K35*S35))*2</f>
        <v>148.87925000000001</v>
      </c>
      <c r="AW35" s="7">
        <f t="array" ref="AW35">+SUM(E35:G35*M35:O35)</f>
        <v>4.75</v>
      </c>
      <c r="AX35" s="7">
        <f t="array" ref="AX35">+SUM(H35:K35*P35:S35)*2</f>
        <v>18</v>
      </c>
      <c r="AY35" s="7">
        <f>((E35*AO35)+(F35*AP35)+(G35*AQ35))*5+((I35*AR35)+(J35*AS35)+(K35*AT35))*2</f>
        <v>0</v>
      </c>
      <c r="AZ35" s="7">
        <f>((J35*R35)+(K35*AU35)+(I35*Q35)+(H35*P35))*2</f>
        <v>13</v>
      </c>
      <c r="BA35" s="7" t="e">
        <f>((J35*R35)+(K35*S35)+(I35*Q35)+(H35*P35))*#REF!</f>
        <v>#REF!</v>
      </c>
      <c r="BB35" s="203">
        <v>0</v>
      </c>
      <c r="BC35" s="204">
        <f>AV35/AJ35</f>
        <v>4.1937816901408453</v>
      </c>
      <c r="BD35" s="44">
        <f>+SUM(AK35:AL35)/52*IF(Y35=1,0.5,IF(Y35=2,1.5,IF(Y35=4,3,IF(Y35=5,5,0))))+AV35</f>
        <v>148.87925000000001</v>
      </c>
      <c r="BE35" s="44">
        <f>+SUM(AK35:AL35)/52*AM35*IF(Y35=1,0.5,IF(Y35=2,1.5,IF(Y35=4,3,IF(Y35=5,5,0))))+AG35*AV35</f>
        <v>0</v>
      </c>
      <c r="BF35" s="44">
        <f>+(AW35*AK35*AM35+AX35/2*AL35*AM35)/52+AB35</f>
        <v>0</v>
      </c>
      <c r="BG35" s="44">
        <f>SUM(BD35:BF35)</f>
        <v>148.87925000000001</v>
      </c>
      <c r="BH35" s="205">
        <f>+(BC35-AI35)/AI35*AJ35</f>
        <v>14.126416666666671</v>
      </c>
      <c r="BI35" s="31"/>
      <c r="BJ35" s="16" t="str">
        <f>C35</f>
        <v xml:space="preserve"> overlege</v>
      </c>
      <c r="BK35" s="7" t="e">
        <f>TRUNC(CB35*AI35/1000)</f>
        <v>#REF!</v>
      </c>
      <c r="BL35" s="7" t="e">
        <f>TRUNC(#REF!*Z35/1000)</f>
        <v>#REF!</v>
      </c>
      <c r="BM35" s="7" t="e">
        <f>TRUNC(#REF!*AA35/1000)</f>
        <v>#REF!</v>
      </c>
      <c r="BN35" s="7" t="e">
        <f>TRUNC(#REF!*AZ35*#REF!)/1000</f>
        <v>#REF!</v>
      </c>
      <c r="BO35" s="7" t="e">
        <f>IF(AJ35=35.5,TRUNC(BA35*CN35*(1-BB35)/1000),TRUNC(BA35*CN35*(1-BB35)/1000))</f>
        <v>#REF!</v>
      </c>
      <c r="BP35" s="7" t="e">
        <f>TRUNC(AY35*#REF!*CL35)/1000</f>
        <v>#REF!</v>
      </c>
      <c r="BQ35" s="7" t="e">
        <f>TRUNC((SUM(BK35:BP35)+SUM(BS35:BT35))*AG35)</f>
        <v>#REF!</v>
      </c>
      <c r="BR35" s="7" t="e">
        <f>TRUNC(IF(Y35=#REF!,(#REF!*AK35+#REF!*(AL35+#REF!))/1000,IF(Y35=#REF!,(#REF!*AK35+#REF!*(AL35+#REF!))/1000,IF(Y35=#REF!,(#REF!*AK35+#REF!*(AL35+#REF!))/1000,IF(Y35=#REF!,(#REF!*AK35+#REF!*(AL35+#REF!))/1000,0)))))*(1+AM35)</f>
        <v>#REF!</v>
      </c>
      <c r="BS35" s="7" t="e">
        <f>TRUNC(#REF!*((V35*CG35)+(U35*CF35)+(W35*CI35)+(X35*CK35)))/1000</f>
        <v>#REF!</v>
      </c>
      <c r="BT35" s="7" t="e">
        <f>TRUNC(#REF!*((AC35*CG35)+(AD35*CH35)+(AE35*CI35)+(AF35*CK35))+BR35*AM35*1000)/1000</f>
        <v>#REF!</v>
      </c>
      <c r="BU35" s="7" t="e">
        <f>+BK35*#REF!</f>
        <v>#REF!</v>
      </c>
      <c r="BV35" s="7" t="e">
        <f>SUM(BK35:BU35)*#REF!</f>
        <v>#REF!</v>
      </c>
      <c r="BW35" s="7" t="e">
        <f>TRUNC(SUM(BK35:BV35))</f>
        <v>#REF!</v>
      </c>
      <c r="BX35" s="7" t="e">
        <f>+BK35+BL35+BM35+BN35+BP35+BR35+BS35+BO35</f>
        <v>#REF!</v>
      </c>
      <c r="BY35" s="7" t="e">
        <f>+BW35-BX35-BZ35</f>
        <v>#REF!</v>
      </c>
      <c r="BZ35" s="7" t="e">
        <f>+BU35+BV35</f>
        <v>#REF!</v>
      </c>
      <c r="CA35" s="16">
        <f>AH35</f>
        <v>56</v>
      </c>
      <c r="CB35" s="44" t="e">
        <f>IF($CA35&gt;0,VLOOKUP($CA35,#REF!,2)*#REF!,0)</f>
        <v>#REF!</v>
      </c>
      <c r="CC35" s="44" t="e">
        <f>IF($CA35&gt;0,VLOOKUP($CA35,#REF!,3)*#REF!,0)</f>
        <v>#REF!</v>
      </c>
      <c r="CD35" s="44" t="e">
        <f>IF($CA35&gt;0,VLOOKUP($CA35,#REF!,4)*#REF!,0)</f>
        <v>#REF!</v>
      </c>
      <c r="CE35" s="44" t="e">
        <f>IF($CA35&gt;0,VLOOKUP($CA35,#REF!,5)*#REF!,0)</f>
        <v>#REF!</v>
      </c>
      <c r="CF35" s="44" t="e">
        <f>IF($CA35&gt;0,VLOOKUP($CA35,#REF!,6)*#REF!,0)</f>
        <v>#REF!</v>
      </c>
      <c r="CG35" s="44" t="e">
        <f>IF($CA35&gt;0,VLOOKUP($CA35,#REF!,7)*#REF!,0)</f>
        <v>#REF!</v>
      </c>
      <c r="CH35" s="44" t="e">
        <f>+(CG35+CI35)/2</f>
        <v>#REF!</v>
      </c>
      <c r="CI35" s="44" t="e">
        <f>IF($CA35&gt;0,VLOOKUP($CA35,#REF!,8)*#REF!,0)</f>
        <v>#REF!</v>
      </c>
      <c r="CJ35" s="44" t="e">
        <f>IF($CA35&gt;0,VLOOKUP($CA35,#REF!,9)*#REF!,0)</f>
        <v>#REF!</v>
      </c>
      <c r="CK35" s="44" t="e">
        <f>IF($CA35&gt;0,VLOOKUP($CA35,#REF!,10)*#REF!,0)</f>
        <v>#REF!</v>
      </c>
      <c r="CL35" s="44" t="e">
        <f>IF($CA35&gt;0,VLOOKUP($CA35,#REF!,11)*#REF!,0)</f>
        <v>#REF!</v>
      </c>
      <c r="CM35" s="44" t="e">
        <f>IF($CA35&gt;0,VLOOKUP($CA35,#REF!,12)*#REF!,0)</f>
        <v>#REF!</v>
      </c>
      <c r="CN35" s="44" t="e">
        <f>IF($CA35&gt;0,VLOOKUP($CA35,#REF!,13)*#REF!,0)</f>
        <v>#REF!</v>
      </c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</row>
    <row r="36" spans="1:183" s="64" customFormat="1">
      <c r="A36" s="182" t="s">
        <v>113</v>
      </c>
      <c r="B36" s="183"/>
      <c r="C36" s="46" t="s">
        <v>102</v>
      </c>
      <c r="D36" s="106">
        <v>0.91200000000000003</v>
      </c>
      <c r="E36" s="106">
        <v>0.25</v>
      </c>
      <c r="F36" s="106"/>
      <c r="G36" s="106">
        <v>0.25</v>
      </c>
      <c r="H36" s="105">
        <v>0.25</v>
      </c>
      <c r="I36" s="106">
        <v>0.25</v>
      </c>
      <c r="J36" s="106"/>
      <c r="K36" s="136">
        <v>0.25</v>
      </c>
      <c r="L36" s="108">
        <v>7.94</v>
      </c>
      <c r="M36" s="108">
        <v>2.25</v>
      </c>
      <c r="N36" s="108"/>
      <c r="O36" s="108">
        <v>2.5</v>
      </c>
      <c r="P36" s="107">
        <v>4.38</v>
      </c>
      <c r="Q36" s="108">
        <v>2.12</v>
      </c>
      <c r="R36" s="108"/>
      <c r="S36" s="108">
        <v>2.5</v>
      </c>
      <c r="T36" s="110">
        <f>+BH36+AJ36</f>
        <v>46.643900000000002</v>
      </c>
      <c r="U36" s="111">
        <f>+IF(BH36&lt;$D$75,BH36*AI36,$D$75*$AI36)</f>
        <v>0</v>
      </c>
      <c r="V36" s="111">
        <f>+IF(U36&lt;$D$75*$AI36,0,IF(BH36&lt;$D$76,BH36*AI36-U36,($D$76-$D$75)*AI36))</f>
        <v>0</v>
      </c>
      <c r="W36" s="111">
        <f>+IF(V36&lt;($D$76-$D$75)*$AI36,0,IF(BH36&gt;$D$77,($D$77-$D$76)*$AI36,BH36*$AI36-U36-V36))</f>
        <v>0</v>
      </c>
      <c r="X36" s="111">
        <f>+IF($W36&lt;($D$77-$D$76)*$AI36,0,BH36*AI36-W36-U36-V36)</f>
        <v>11.143899999999999</v>
      </c>
      <c r="Y36" s="112"/>
      <c r="Z36" s="184">
        <f>+IF(U36&gt;0,120*AI36,0)</f>
        <v>0</v>
      </c>
      <c r="AA36" s="113"/>
      <c r="AB36" s="185"/>
      <c r="AC36" s="111">
        <f>+Y36*7</f>
        <v>0</v>
      </c>
      <c r="AD36" s="111"/>
      <c r="AE36" s="116">
        <f>Y36*10/52</f>
        <v>0</v>
      </c>
      <c r="AF36" s="116">
        <f>(AW36*AK36*AM36+AZ36/2*AL36*AM36)/52</f>
        <v>0</v>
      </c>
      <c r="AG36" s="207"/>
      <c r="AH36" s="208">
        <v>39</v>
      </c>
      <c r="AI36" s="107">
        <v>1</v>
      </c>
      <c r="AJ36" s="109">
        <v>35.5</v>
      </c>
      <c r="AK36" s="168"/>
      <c r="AL36" s="168"/>
      <c r="AM36" s="169"/>
      <c r="AN36" s="46" t="e">
        <f>BW36</f>
        <v>#REF!</v>
      </c>
      <c r="AO36" s="123"/>
      <c r="AP36" s="123"/>
      <c r="AQ36" s="123"/>
      <c r="AR36" s="123"/>
      <c r="AS36" s="123"/>
      <c r="AT36" s="123"/>
      <c r="AU36" s="123"/>
      <c r="AV36" s="124">
        <f>((D36*L36)+(E36*M36)+(F36*N36)+(G36*O36))*5+((H36*P36)+(I36*Q36)+(J36*R36)+(K36*S36))*2</f>
        <v>46.643900000000002</v>
      </c>
      <c r="AW36" s="125">
        <f t="array" ref="AW36">+SUM(E36:G36*M36:O36)</f>
        <v>1.1875</v>
      </c>
      <c r="AX36" s="125">
        <f t="array" ref="AX36">+SUM(H36:K36*P36:S36)*2</f>
        <v>4.5</v>
      </c>
      <c r="AY36" s="125">
        <f>((E36*AO36)+(F36*AP36)+(G36*AQ36))*5+((I36*AR36)+(J36*AS36)+(K36*AT36))*2</f>
        <v>0</v>
      </c>
      <c r="AZ36" s="125">
        <f>((J36*R36)+(K36*AU36)+(I36*Q36)+(H36*P36))*2</f>
        <v>3.25</v>
      </c>
      <c r="BA36" s="125" t="e">
        <f>((J36*R36)+(K36*S36)+(I36*Q36)+(H36*P36))*#REF!</f>
        <v>#REF!</v>
      </c>
      <c r="BB36" s="118">
        <v>1</v>
      </c>
      <c r="BC36" s="126">
        <f>AV36/AJ36</f>
        <v>1.313912676056338</v>
      </c>
      <c r="BD36" s="113">
        <f>+SUM(AK36:AL36)/52*IF(Y36=1,0.5,IF(Y36=2,1.5,IF(Y36=4,3,IF(Y36=5,5,0))))+AV36</f>
        <v>46.643900000000002</v>
      </c>
      <c r="BE36" s="113">
        <f>+SUM(AK36:AL36)/52*AM36*IF(Y36=1,0.5,IF(Y36=2,1.5,IF(Y36=4,3,IF(Y36=5,5,0))))+AG36*AV36</f>
        <v>0</v>
      </c>
      <c r="BF36" s="113">
        <f>+(AW36*AK36*AM36+AX36/2*AL36*AM36)/52+AB36</f>
        <v>0</v>
      </c>
      <c r="BG36" s="113">
        <f>SUM(BD36:BF36)</f>
        <v>46.643900000000002</v>
      </c>
      <c r="BH36" s="127">
        <f>+(BC36-AI36)/AI36*AJ36</f>
        <v>11.143899999999999</v>
      </c>
      <c r="BI36" s="104"/>
      <c r="BJ36" s="63" t="str">
        <f>C36</f>
        <v>Ass leger</v>
      </c>
      <c r="BK36" s="125" t="e">
        <f>TRUNC(CB36*AI36/1000)</f>
        <v>#REF!</v>
      </c>
      <c r="BL36" s="125" t="e">
        <f>TRUNC(#REF!*Z36/1000)</f>
        <v>#REF!</v>
      </c>
      <c r="BM36" s="125" t="e">
        <f>TRUNC(#REF!*AA36/1000)</f>
        <v>#REF!</v>
      </c>
      <c r="BN36" s="125" t="e">
        <f>TRUNC(#REF!*AZ36*#REF!)/1000</f>
        <v>#REF!</v>
      </c>
      <c r="BO36" s="125" t="e">
        <f>IF(AJ36=35.5,TRUNC(BA36*CN36*(1-BB36)/1000),TRUNC(BA36*CN36*(1-BB36)/1000))</f>
        <v>#REF!</v>
      </c>
      <c r="BP36" s="125" t="e">
        <f>TRUNC(AY36*#REF!*CL36)/1000</f>
        <v>#REF!</v>
      </c>
      <c r="BQ36" s="125" t="e">
        <f>TRUNC((SUM(BK36:BP36)+SUM(BS36:BT36))*AG36)</f>
        <v>#REF!</v>
      </c>
      <c r="BR36" s="125"/>
      <c r="BS36" s="125" t="e">
        <f>TRUNC(#REF!*((V36*CG36)+(U36*CF36)+(W36*CI36)+(X36*CK36)))/1000</f>
        <v>#REF!</v>
      </c>
      <c r="BT36" s="125" t="e">
        <f>TRUNC(#REF!*((AC36*CG36)+(AD36*CH36)+(AE36*CI36)+(AF36*CK36))+BR36*AM36*1000)/1000</f>
        <v>#REF!</v>
      </c>
      <c r="BU36" s="125" t="e">
        <f>+BK36*#REF!</f>
        <v>#REF!</v>
      </c>
      <c r="BV36" s="125" t="e">
        <f>SUM(BK36:BU36)*#REF!</f>
        <v>#REF!</v>
      </c>
      <c r="BW36" s="125" t="e">
        <f>TRUNC(SUM(BK36:BV36))</f>
        <v>#REF!</v>
      </c>
      <c r="BX36" s="125" t="e">
        <f>+BK36+BL36+BM36+BN36+BP36+BR36+BS36+BO36</f>
        <v>#REF!</v>
      </c>
      <c r="BY36" s="125" t="e">
        <f>+BW36-BX36-BZ36</f>
        <v>#REF!</v>
      </c>
      <c r="BZ36" s="125" t="e">
        <f>+BU36+BV36</f>
        <v>#REF!</v>
      </c>
      <c r="CA36" s="63">
        <f>AH36</f>
        <v>39</v>
      </c>
      <c r="CB36" s="113" t="e">
        <f>IF($CA36&gt;0,VLOOKUP($CA36,#REF!,2)*#REF!,0)</f>
        <v>#REF!</v>
      </c>
      <c r="CC36" s="113" t="e">
        <f>IF($CA36&gt;0,VLOOKUP($CA36,#REF!,3)*#REF!,0)</f>
        <v>#REF!</v>
      </c>
      <c r="CD36" s="113" t="e">
        <f>IF($CA36&gt;0,VLOOKUP($CA36,#REF!,4)*#REF!,0)</f>
        <v>#REF!</v>
      </c>
      <c r="CE36" s="113" t="e">
        <f>IF($CA36&gt;0,VLOOKUP($CA36,#REF!,5)*#REF!,0)</f>
        <v>#REF!</v>
      </c>
      <c r="CF36" s="113" t="e">
        <f>IF($CA36&gt;0,VLOOKUP($CA36,#REF!,6)*#REF!,0)</f>
        <v>#REF!</v>
      </c>
      <c r="CG36" s="113" t="e">
        <f>IF($CA36&gt;0,VLOOKUP($CA36,#REF!,7)*#REF!,0)</f>
        <v>#REF!</v>
      </c>
      <c r="CH36" s="113" t="e">
        <f>+(CG36+CI36)/2</f>
        <v>#REF!</v>
      </c>
      <c r="CI36" s="113" t="e">
        <f>IF($CA36&gt;0,VLOOKUP($CA36,#REF!,8)*#REF!,0)</f>
        <v>#REF!</v>
      </c>
      <c r="CJ36" s="113" t="e">
        <f>IF($CA36&gt;0,VLOOKUP($CA36,#REF!,9)*#REF!,0)</f>
        <v>#REF!</v>
      </c>
      <c r="CK36" s="113" t="e">
        <f>IF($CA36&gt;0,VLOOKUP($CA36,#REF!,10)*#REF!,0)</f>
        <v>#REF!</v>
      </c>
      <c r="CL36" s="113" t="e">
        <f>IF($CA36&gt;0,VLOOKUP($CA36,#REF!,11)*#REF!,0)</f>
        <v>#REF!</v>
      </c>
      <c r="CM36" s="113" t="e">
        <f>IF($CA36&gt;0,VLOOKUP($CA36,#REF!,12)*#REF!,0)</f>
        <v>#REF!</v>
      </c>
      <c r="CN36" s="113" t="e">
        <f>IF($CA36&gt;0,VLOOKUP($CA36,#REF!,13)*#REF!,0)</f>
        <v>#REF!</v>
      </c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  <c r="DX36" s="63"/>
      <c r="DY36" s="63"/>
      <c r="DZ36" s="63"/>
      <c r="EA36" s="63"/>
      <c r="EB36" s="63"/>
      <c r="EC36" s="63"/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3"/>
      <c r="EO36" s="63"/>
      <c r="EP36" s="63"/>
      <c r="EQ36" s="63"/>
      <c r="ER36" s="63"/>
      <c r="ES36" s="63"/>
      <c r="ET36" s="63"/>
      <c r="EU36" s="63"/>
      <c r="EV36" s="63"/>
      <c r="EW36" s="63"/>
      <c r="EX36" s="63"/>
      <c r="EY36" s="63"/>
      <c r="EZ36" s="63"/>
      <c r="FA36" s="63"/>
      <c r="FB36" s="63"/>
      <c r="FC36" s="63"/>
      <c r="FD36" s="63"/>
      <c r="FE36" s="63"/>
      <c r="FF36" s="63"/>
      <c r="FG36" s="63"/>
      <c r="FH36" s="63"/>
      <c r="FI36" s="63"/>
      <c r="FJ36" s="63"/>
      <c r="FK36" s="63"/>
      <c r="FL36" s="63"/>
      <c r="FM36" s="63"/>
      <c r="FN36" s="63"/>
      <c r="FO36" s="63"/>
      <c r="FP36" s="63"/>
      <c r="FQ36" s="63"/>
      <c r="FR36" s="63"/>
      <c r="FS36" s="63"/>
      <c r="FT36" s="63"/>
      <c r="FU36" s="63"/>
      <c r="FV36" s="63"/>
      <c r="FW36" s="63"/>
      <c r="FX36" s="63"/>
      <c r="FY36" s="63"/>
      <c r="FZ36" s="63"/>
      <c r="GA36" s="63"/>
    </row>
    <row r="37" spans="1:183" ht="12.75" customHeight="1">
      <c r="A37" s="191"/>
      <c r="B37" s="172"/>
      <c r="C37" s="102"/>
      <c r="D37" s="68"/>
      <c r="E37" s="68"/>
      <c r="F37" s="68"/>
      <c r="G37" s="68"/>
      <c r="H37" s="69"/>
      <c r="I37" s="68"/>
      <c r="J37" s="68"/>
      <c r="K37" s="135"/>
      <c r="L37" s="73"/>
      <c r="M37" s="73"/>
      <c r="N37" s="73"/>
      <c r="O37" s="73"/>
      <c r="P37" s="93"/>
      <c r="Q37" s="73"/>
      <c r="R37" s="73"/>
      <c r="S37" s="73"/>
      <c r="T37" s="151"/>
      <c r="U37" s="75"/>
      <c r="V37" s="75"/>
      <c r="W37" s="75"/>
      <c r="X37" s="77"/>
      <c r="Y37" s="152"/>
      <c r="Z37" s="192"/>
      <c r="AA37" s="77"/>
      <c r="AB37" s="193"/>
      <c r="AC37" s="194"/>
      <c r="AD37" s="75"/>
      <c r="AE37" s="77"/>
      <c r="AF37" s="77"/>
      <c r="AG37" s="195"/>
      <c r="AH37" s="196"/>
      <c r="AI37" s="197"/>
      <c r="AJ37" s="198"/>
      <c r="AK37" s="6"/>
      <c r="AL37" s="6"/>
      <c r="AM37" s="157"/>
      <c r="AN37" s="102"/>
      <c r="AO37" s="89"/>
      <c r="AP37" s="159"/>
      <c r="AQ37" s="159"/>
      <c r="AR37" s="159"/>
      <c r="AS37" s="159"/>
      <c r="AT37" s="159"/>
      <c r="AU37" s="159"/>
      <c r="AV37" s="90"/>
      <c r="AW37" s="8"/>
      <c r="AX37" s="8"/>
      <c r="AY37" s="161"/>
      <c r="AZ37" s="161"/>
      <c r="BA37" s="161"/>
      <c r="BB37" s="162"/>
      <c r="BC37" s="163"/>
      <c r="BD37" s="164"/>
      <c r="BE37" s="164"/>
      <c r="BF37" s="164"/>
      <c r="BG37" s="164"/>
      <c r="BH37" s="165"/>
      <c r="BI37" s="4"/>
      <c r="BJ37" s="5"/>
      <c r="BK37" s="161"/>
      <c r="BL37" s="161"/>
      <c r="BM37" s="161"/>
      <c r="BN37" s="161"/>
      <c r="BO37" s="161"/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4"/>
      <c r="CB37" s="164"/>
      <c r="CC37" s="164"/>
      <c r="CD37" s="164"/>
      <c r="CE37" s="164"/>
      <c r="CF37" s="164"/>
      <c r="CG37" s="164"/>
      <c r="CH37" s="77"/>
      <c r="CI37" s="164"/>
      <c r="CJ37" s="164"/>
      <c r="CK37" s="164"/>
      <c r="CL37" s="164"/>
      <c r="CM37" s="164"/>
      <c r="CN37" s="164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</row>
    <row r="38" spans="1:183" s="64" customFormat="1">
      <c r="A38" s="182" t="s">
        <v>117</v>
      </c>
      <c r="B38" s="183" t="s">
        <v>106</v>
      </c>
      <c r="C38" s="46" t="s">
        <v>107</v>
      </c>
      <c r="D38" s="106">
        <v>11.2</v>
      </c>
      <c r="E38" s="106">
        <v>1</v>
      </c>
      <c r="F38" s="106">
        <v>1</v>
      </c>
      <c r="G38" s="106">
        <v>1.3</v>
      </c>
      <c r="H38" s="105">
        <v>1.29</v>
      </c>
      <c r="I38" s="106">
        <v>1.25</v>
      </c>
      <c r="J38" s="106"/>
      <c r="K38" s="136">
        <v>1.23</v>
      </c>
      <c r="L38" s="108">
        <v>7.5</v>
      </c>
      <c r="M38" s="108">
        <v>7</v>
      </c>
      <c r="N38" s="108">
        <v>6.25</v>
      </c>
      <c r="O38" s="108">
        <v>9</v>
      </c>
      <c r="P38" s="107">
        <v>7</v>
      </c>
      <c r="Q38" s="108" t="s">
        <v>101</v>
      </c>
      <c r="R38" s="108"/>
      <c r="S38" s="108">
        <v>10</v>
      </c>
      <c r="T38" s="140">
        <f>+SUM(H38:K38)*3/AI38</f>
        <v>0.68351747501744953</v>
      </c>
      <c r="U38" s="111"/>
      <c r="V38" s="111"/>
      <c r="W38" s="111"/>
      <c r="X38" s="113"/>
      <c r="Y38" s="141"/>
      <c r="Z38" s="184"/>
      <c r="AA38" s="113"/>
      <c r="AB38" s="185"/>
      <c r="AC38" s="186"/>
      <c r="AD38" s="111"/>
      <c r="AE38" s="113"/>
      <c r="AF38" s="113"/>
      <c r="AG38" s="187">
        <v>0</v>
      </c>
      <c r="AH38" s="188">
        <v>36</v>
      </c>
      <c r="AI38" s="189">
        <f>+BC38</f>
        <v>16.546760563380282</v>
      </c>
      <c r="AJ38" s="190">
        <v>35.5</v>
      </c>
      <c r="AK38" s="63"/>
      <c r="AL38" s="63"/>
      <c r="AM38" s="147"/>
      <c r="AN38" s="46" t="e">
        <f>BW38</f>
        <v>#REF!</v>
      </c>
      <c r="AO38" s="123">
        <v>6</v>
      </c>
      <c r="AP38" s="123">
        <v>4</v>
      </c>
      <c r="AQ38" s="123">
        <v>7</v>
      </c>
      <c r="AR38" s="123">
        <v>6</v>
      </c>
      <c r="AS38" s="123"/>
      <c r="AT38" s="123">
        <v>7</v>
      </c>
      <c r="AU38" s="123">
        <v>9</v>
      </c>
      <c r="AV38" s="124">
        <f>((D38*L38)+(E38*M38)+(F38*N38)+(G38*O38))*5+((H38*P38)+(I38*Q38)+(J38*R38)+(K38*S38))*2</f>
        <v>587.41</v>
      </c>
      <c r="AW38" s="125">
        <f t="array" ref="AW38">+SUM(E38:G38*M38:O38)</f>
        <v>24.950000000000003</v>
      </c>
      <c r="AX38" s="125">
        <f t="array" ref="AX38">+SUM(H38:K38*P38:S38)*2</f>
        <v>42.660000000000004</v>
      </c>
      <c r="AY38" s="125">
        <f>((E38*AO38)+(F38*AP38)+(G38*AQ38))*5+((I38*AR38)+(J38*AS38)+(K38*AT38))*2</f>
        <v>127.72</v>
      </c>
      <c r="AZ38" s="125">
        <f>((J38*R38)+(K38*AU38)+(I38*Q38)+(H38*P38))*2</f>
        <v>40.200000000000003</v>
      </c>
      <c r="BA38" s="125" t="e">
        <f>((J38*R38)+(K38*S38)+(I38*Q38)+(H38*P38))*#REF!</f>
        <v>#REF!</v>
      </c>
      <c r="BB38" s="118">
        <v>0</v>
      </c>
      <c r="BC38" s="126">
        <f>AV38/AJ38</f>
        <v>16.546760563380282</v>
      </c>
      <c r="BD38" s="113">
        <f>+AV38</f>
        <v>587.41</v>
      </c>
      <c r="BE38" s="113">
        <f>+AG38*BD38</f>
        <v>0</v>
      </c>
      <c r="BF38" s="113">
        <f>+(AW38*AK38*AM38+AX38/2*AL38*AM38)/52+AB38+Y38*7*(AK38+AL38)/374</f>
        <v>0</v>
      </c>
      <c r="BG38" s="113">
        <f>SUM(BD38:BF38)</f>
        <v>587.41</v>
      </c>
      <c r="BH38" s="127">
        <f>+(BC38-AI38)/AI38*AJ38</f>
        <v>0</v>
      </c>
      <c r="BI38" s="62"/>
      <c r="BJ38" s="63" t="str">
        <f>C38</f>
        <v>Sy pl</v>
      </c>
      <c r="BK38" s="125" t="e">
        <f>TRUNC(CB38*AI38/1000)</f>
        <v>#REF!</v>
      </c>
      <c r="BL38" s="125" t="e">
        <f>TRUNC(#REF!*Z38/1000)</f>
        <v>#REF!</v>
      </c>
      <c r="BM38" s="125" t="e">
        <f>TRUNC(#REF!*AA38/1000)</f>
        <v>#REF!</v>
      </c>
      <c r="BN38" s="125" t="e">
        <f>TRUNC(#REF!*AZ38*#REF!)/1000</f>
        <v>#REF!</v>
      </c>
      <c r="BO38" s="125" t="e">
        <f>IF(AJ38=35.5,TRUNC(BA38*CN38*(1-BB38)/1000),TRUNC(BA38*CN38*(1-BB38)/1000))</f>
        <v>#REF!</v>
      </c>
      <c r="BP38" s="125" t="e">
        <f>TRUNC(AY38*#REF!*CL38)/1000</f>
        <v>#REF!</v>
      </c>
      <c r="BQ38" s="125" t="e">
        <f>TRUNC((SUM(BK38:BP38)+SUM(BS38:BT38))*AG38)</f>
        <v>#REF!</v>
      </c>
      <c r="BR38" s="125"/>
      <c r="BS38" s="125" t="e">
        <f>TRUNC(#REF!*((V38*CG38)+(U38*CF38)+(W38*CI38)+(X38*CK38)))/1000</f>
        <v>#REF!</v>
      </c>
      <c r="BT38" s="125" t="e">
        <f>TRUNC(#REF!*((AC38*CG38)+(AD38*CH38)+(AE38*CI38)+(AF38*CK38))/1000)</f>
        <v>#REF!</v>
      </c>
      <c r="BU38" s="125" t="e">
        <f>+BK38*#REF!</f>
        <v>#REF!</v>
      </c>
      <c r="BV38" s="125" t="e">
        <f>SUM(BK38:BU38)*#REF!</f>
        <v>#REF!</v>
      </c>
      <c r="BW38" s="125" t="e">
        <f>TRUNC(SUM(BK38:BV38))</f>
        <v>#REF!</v>
      </c>
      <c r="BX38" s="125" t="e">
        <f>+BK38+BL38+BM38+BN38+BP38+BR38+BS38+BO38</f>
        <v>#REF!</v>
      </c>
      <c r="BY38" s="125" t="e">
        <f>+BW38-BX38-BZ38</f>
        <v>#REF!</v>
      </c>
      <c r="BZ38" s="125" t="e">
        <f>+BU38+BV38</f>
        <v>#REF!</v>
      </c>
      <c r="CA38" s="62">
        <f>AH38</f>
        <v>36</v>
      </c>
      <c r="CB38" s="113" t="e">
        <f>IF($CA38&gt;0,VLOOKUP($CA38,#REF!,2)*#REF!,0)</f>
        <v>#REF!</v>
      </c>
      <c r="CC38" s="113" t="e">
        <f>IF($CA38&gt;0,VLOOKUP($CA38,#REF!,3)*#REF!,0)</f>
        <v>#REF!</v>
      </c>
      <c r="CD38" s="113" t="e">
        <f>IF($CA38&gt;0,VLOOKUP($CA38,#REF!,4)*#REF!,0)</f>
        <v>#REF!</v>
      </c>
      <c r="CE38" s="113" t="e">
        <f>IF($CA38&gt;0,VLOOKUP($CA38,#REF!,5)*#REF!,0)</f>
        <v>#REF!</v>
      </c>
      <c r="CF38" s="113" t="e">
        <f>IF($CA38&gt;0,VLOOKUP($CA38,#REF!,6)*#REF!,0)</f>
        <v>#REF!</v>
      </c>
      <c r="CG38" s="113" t="e">
        <f>IF($CA38&gt;0,VLOOKUP($CA38,#REF!,7)*#REF!,0)</f>
        <v>#REF!</v>
      </c>
      <c r="CH38" s="113" t="e">
        <f>+(CG38+CI38)/2</f>
        <v>#REF!</v>
      </c>
      <c r="CI38" s="113" t="e">
        <f>IF($CA38&gt;0,VLOOKUP($CA38,#REF!,8)*#REF!,0)</f>
        <v>#REF!</v>
      </c>
      <c r="CJ38" s="113" t="e">
        <f>IF($CA38&gt;0,VLOOKUP($CA38,#REF!,9)*#REF!,0)</f>
        <v>#REF!</v>
      </c>
      <c r="CK38" s="113" t="e">
        <f>IF($CA38&gt;0,VLOOKUP($CA38,#REF!,10)*#REF!,0)</f>
        <v>#REF!</v>
      </c>
      <c r="CL38" s="113" t="e">
        <f>IF($CA38&gt;0,VLOOKUP($CA38,#REF!,11)*#REF!,0)</f>
        <v>#REF!</v>
      </c>
      <c r="CM38" s="113" t="e">
        <f>IF($CA38&gt;0,VLOOKUP($CA38,#REF!,12)*#REF!,0)</f>
        <v>#REF!</v>
      </c>
      <c r="CN38" s="113" t="e">
        <f>IF($CA38&gt;0,VLOOKUP($CA38,#REF!,13)*#REF!,0)</f>
        <v>#REF!</v>
      </c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3"/>
      <c r="FF38" s="63"/>
      <c r="FG38" s="63"/>
      <c r="FH38" s="63"/>
      <c r="FI38" s="63"/>
      <c r="FJ38" s="63"/>
      <c r="FK38" s="63"/>
      <c r="FL38" s="63"/>
      <c r="FM38" s="63"/>
      <c r="FN38" s="63"/>
      <c r="FO38" s="63"/>
      <c r="FP38" s="63"/>
      <c r="FQ38" s="63"/>
      <c r="FR38" s="63"/>
      <c r="FS38" s="63"/>
      <c r="FT38" s="63"/>
      <c r="FU38" s="63"/>
      <c r="FV38" s="63"/>
      <c r="FW38" s="63"/>
      <c r="FX38" s="63"/>
      <c r="FY38" s="63"/>
      <c r="FZ38" s="63"/>
      <c r="GA38" s="63"/>
    </row>
    <row r="39" spans="1:183" s="3" customFormat="1">
      <c r="A39" s="191"/>
      <c r="B39" s="172"/>
      <c r="C39" s="102"/>
      <c r="D39" s="68"/>
      <c r="E39" s="68"/>
      <c r="F39" s="68"/>
      <c r="G39" s="68"/>
      <c r="H39" s="69"/>
      <c r="I39" s="68"/>
      <c r="J39" s="68"/>
      <c r="K39" s="135"/>
      <c r="L39" s="73"/>
      <c r="M39" s="73"/>
      <c r="N39" s="73"/>
      <c r="O39" s="73"/>
      <c r="P39" s="93"/>
      <c r="Q39" s="73"/>
      <c r="R39" s="73"/>
      <c r="S39" s="73"/>
      <c r="T39" s="151"/>
      <c r="U39" s="75"/>
      <c r="V39" s="75"/>
      <c r="W39" s="75"/>
      <c r="X39" s="77"/>
      <c r="Y39" s="152"/>
      <c r="Z39" s="192"/>
      <c r="AA39" s="77"/>
      <c r="AB39" s="193"/>
      <c r="AC39" s="194"/>
      <c r="AD39" s="75"/>
      <c r="AE39" s="77"/>
      <c r="AF39" s="77"/>
      <c r="AG39" s="195"/>
      <c r="AH39" s="196"/>
      <c r="AI39" s="197"/>
      <c r="AJ39" s="198"/>
      <c r="AK39" s="6"/>
      <c r="AL39" s="6"/>
      <c r="AM39" s="157"/>
      <c r="AN39" s="102"/>
      <c r="AO39" s="89"/>
      <c r="AP39" s="89"/>
      <c r="AQ39" s="89"/>
      <c r="AR39" s="89"/>
      <c r="AS39" s="89"/>
      <c r="AT39" s="89"/>
      <c r="AU39" s="89"/>
      <c r="AV39" s="90"/>
      <c r="AW39" s="8"/>
      <c r="AX39" s="8"/>
      <c r="AY39" s="8"/>
      <c r="AZ39" s="8"/>
      <c r="BA39" s="8"/>
      <c r="BB39" s="83"/>
      <c r="BC39" s="91"/>
      <c r="BD39" s="77"/>
      <c r="BE39" s="77"/>
      <c r="BF39" s="77"/>
      <c r="BG39" s="77"/>
      <c r="BH39" s="92"/>
      <c r="BI39" s="6"/>
      <c r="BJ39" s="6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6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</row>
    <row r="40" spans="1:183" s="3" customFormat="1">
      <c r="A40" s="191" t="s">
        <v>118</v>
      </c>
      <c r="B40" s="172" t="s">
        <v>99</v>
      </c>
      <c r="C40" s="102" t="s">
        <v>100</v>
      </c>
      <c r="D40" s="68">
        <v>3.68</v>
      </c>
      <c r="E40" s="68">
        <v>1</v>
      </c>
      <c r="F40" s="68"/>
      <c r="G40" s="68">
        <v>1</v>
      </c>
      <c r="H40" s="69">
        <v>1</v>
      </c>
      <c r="I40" s="68">
        <v>1</v>
      </c>
      <c r="J40" s="68"/>
      <c r="K40" s="135">
        <v>1</v>
      </c>
      <c r="L40" s="73">
        <v>8.1</v>
      </c>
      <c r="M40" s="73">
        <v>2.2000000000000002</v>
      </c>
      <c r="N40" s="73"/>
      <c r="O40" s="73">
        <v>2.5</v>
      </c>
      <c r="P40" s="93">
        <v>4.25</v>
      </c>
      <c r="Q40" s="73">
        <v>2.25</v>
      </c>
      <c r="R40" s="73"/>
      <c r="S40" s="73">
        <v>2.5</v>
      </c>
      <c r="T40" s="95">
        <f>+BH40+AJ40</f>
        <v>47.635000000000005</v>
      </c>
      <c r="U40" s="75">
        <f>+IF(BH40&lt;$D$75,BH40*AI40,$D$75*$AI40)</f>
        <v>0</v>
      </c>
      <c r="V40" s="75">
        <f>+IF(U40&lt;$D$75*$AI40,0,IF(BH40&lt;$D$76,BH40*AI40-U40,($D$76-$D$75)*AI40))</f>
        <v>0</v>
      </c>
      <c r="W40" s="75">
        <f>+IF(V40&lt;($D$76-$D$75)*$AI40,0,IF(BH40&gt;$D$77,($D$77-$D$76)*$AI40,BH40*$AI40-U40-V40))</f>
        <v>0</v>
      </c>
      <c r="X40" s="75">
        <f>+IF($W40&lt;($D$77-$D$76)*$AI40,0,BH40*AI40-W40-U40-V40)</f>
        <v>48.54000000000002</v>
      </c>
      <c r="Y40" s="96"/>
      <c r="Z40" s="192">
        <f>+IF(U40&gt;0,120*AI40,0)</f>
        <v>0</v>
      </c>
      <c r="AA40" s="77"/>
      <c r="AB40" s="193"/>
      <c r="AC40" s="75"/>
      <c r="AD40" s="75"/>
      <c r="AE40" s="99"/>
      <c r="AF40" s="99">
        <f>(AW40*AK40*AM40+AZ40/2*AL40*AM40)/52</f>
        <v>0</v>
      </c>
      <c r="AG40" s="209"/>
      <c r="AH40" s="179">
        <v>55</v>
      </c>
      <c r="AI40" s="93">
        <v>4</v>
      </c>
      <c r="AJ40" s="94">
        <v>35.5</v>
      </c>
      <c r="AK40" s="138"/>
      <c r="AL40" s="138"/>
      <c r="AM40" s="210"/>
      <c r="AN40" s="102" t="e">
        <f>BW40</f>
        <v>#REF!</v>
      </c>
      <c r="AO40" s="89"/>
      <c r="AP40" s="89"/>
      <c r="AQ40" s="89"/>
      <c r="AR40" s="89"/>
      <c r="AS40" s="89"/>
      <c r="AT40" s="89"/>
      <c r="AU40" s="89"/>
      <c r="AV40" s="90">
        <f>((D40*L40)+(E40*M40)+(F40*N40)+(G40*O40))*5+((H40*P40)+(I40*Q40)+(J40*R40)+(K40*S40))*2</f>
        <v>190.54000000000002</v>
      </c>
      <c r="AW40" s="8">
        <f t="array" ref="AW40">+SUM(E40:G40*M40:O40)</f>
        <v>4.7</v>
      </c>
      <c r="AX40" s="8">
        <f t="array" ref="AX40">+SUM(H40:K40*P40:S40)*2</f>
        <v>18</v>
      </c>
      <c r="AY40" s="8">
        <f>((E40*AO40)+(F40*AP40)+(G40*AQ40))*5+((I40*AR40)+(J40*AS40)+(K40*AT40))*2</f>
        <v>0</v>
      </c>
      <c r="AZ40" s="8">
        <f>((J40*R40)+(K40*AU40)+(I40*Q40)+(H40*P40))*2</f>
        <v>13</v>
      </c>
      <c r="BA40" s="8" t="e">
        <f>((J40*R40)+(K40*S40)+(I40*Q40)+(H40*P40))*#REF!</f>
        <v>#REF!</v>
      </c>
      <c r="BB40" s="83">
        <v>0</v>
      </c>
      <c r="BC40" s="91">
        <f>AV40/AJ40</f>
        <v>5.3673239436619724</v>
      </c>
      <c r="BD40" s="77">
        <f>+SUM(AK40:AL40)/52*IF(Y40=1,0.5,IF(Y40=2,1.5,IF(Y40=4,3,IF(Y40=5,5,0))))+AV40</f>
        <v>190.54000000000002</v>
      </c>
      <c r="BE40" s="77">
        <f>+SUM(AK40:AL40)/52*AM40*IF(Y40=1,0.5,IF(Y40=2,1.5,IF(Y40=4,3,IF(Y40=5,5,0))))+AG40*AV40</f>
        <v>0</v>
      </c>
      <c r="BF40" s="77">
        <f>+(AW40*AK40*AM40+AX40/2*AL40*AM40)/52+AB40</f>
        <v>0</v>
      </c>
      <c r="BG40" s="77">
        <f>SUM(BD40:BF40)</f>
        <v>190.54000000000002</v>
      </c>
      <c r="BH40" s="92">
        <f>+(BC40-AI40)/AI40*AJ40</f>
        <v>12.135000000000005</v>
      </c>
      <c r="BI40" s="6"/>
      <c r="BJ40" s="6" t="str">
        <f>C40</f>
        <v xml:space="preserve"> overlege</v>
      </c>
      <c r="BK40" s="8" t="e">
        <f>TRUNC(CB40*AI40/1000)</f>
        <v>#REF!</v>
      </c>
      <c r="BL40" s="8" t="e">
        <f>TRUNC(#REF!*Z40/1000)</f>
        <v>#REF!</v>
      </c>
      <c r="BM40" s="8" t="e">
        <f>TRUNC(#REF!*AA40/1000)</f>
        <v>#REF!</v>
      </c>
      <c r="BN40" s="8" t="e">
        <f>TRUNC(#REF!*AZ40*#REF!)/1000</f>
        <v>#REF!</v>
      </c>
      <c r="BO40" s="8" t="e">
        <f>IF(AJ40=35.5,TRUNC(BA40*CN40*(1-BB40)/1000),TRUNC(BA40*CN40*(1-BB40)/1000))</f>
        <v>#REF!</v>
      </c>
      <c r="BP40" s="8" t="e">
        <f>TRUNC(AY40*#REF!*CL40)/1000</f>
        <v>#REF!</v>
      </c>
      <c r="BQ40" s="8" t="e">
        <f>TRUNC((SUM(BK40:BP40)+SUM(BS40:BT40))*AG40)</f>
        <v>#REF!</v>
      </c>
      <c r="BR40" s="8" t="e">
        <f>TRUNC(IF(Y40=#REF!,(#REF!*AK40+#REF!*(AL40+#REF!))/1000,IF(Y40=#REF!,(#REF!*AK40+#REF!*(AL40+#REF!))/1000,IF(Y40=#REF!,(#REF!*AK40+#REF!*(AL40+#REF!))/1000,IF(Y40=#REF!,(#REF!*AK40+#REF!*(AL40+#REF!))/1000,0)))))*(1+AM40)</f>
        <v>#REF!</v>
      </c>
      <c r="BS40" s="8" t="e">
        <f>TRUNC(#REF!*((V40*CG40)+(U40*CF40)+(W40*CI40)+(X40*CK40)))/1000</f>
        <v>#REF!</v>
      </c>
      <c r="BT40" s="8" t="e">
        <f>TRUNC(#REF!*((AC40*CG40)+(AD40*CH40)+(AE40*CI40)+(AF40*CK40))+BR40*AM40*1000)/1000</f>
        <v>#REF!</v>
      </c>
      <c r="BU40" s="8" t="e">
        <f>+BK40*#REF!</f>
        <v>#REF!</v>
      </c>
      <c r="BV40" s="8" t="e">
        <f>SUM(BK40:BU40)*#REF!</f>
        <v>#REF!</v>
      </c>
      <c r="BW40" s="8" t="e">
        <f>TRUNC(SUM(BK40:BV40))</f>
        <v>#REF!</v>
      </c>
      <c r="BX40" s="8" t="e">
        <f>+BK40+BL40+BM40+BN40+BP40+BR40+BS40+BO40</f>
        <v>#REF!</v>
      </c>
      <c r="BY40" s="8" t="e">
        <f>+BW40-BX40-BZ40</f>
        <v>#REF!</v>
      </c>
      <c r="BZ40" s="8" t="e">
        <f>+BU40+BV40</f>
        <v>#REF!</v>
      </c>
      <c r="CA40" s="6">
        <f>AH40</f>
        <v>55</v>
      </c>
      <c r="CB40" s="77" t="e">
        <f>IF($CA40&gt;0,VLOOKUP($CA40,#REF!,2)*#REF!,0)</f>
        <v>#REF!</v>
      </c>
      <c r="CC40" s="77" t="e">
        <f>IF($CA40&gt;0,VLOOKUP($CA40,#REF!,3)*#REF!,0)</f>
        <v>#REF!</v>
      </c>
      <c r="CD40" s="77" t="e">
        <f>IF($CA40&gt;0,VLOOKUP($CA40,#REF!,4)*#REF!,0)</f>
        <v>#REF!</v>
      </c>
      <c r="CE40" s="77" t="e">
        <f>IF($CA40&gt;0,VLOOKUP($CA40,#REF!,5)*#REF!,0)</f>
        <v>#REF!</v>
      </c>
      <c r="CF40" s="77" t="e">
        <f>IF($CA40&gt;0,VLOOKUP($CA40,#REF!,6)*#REF!,0)</f>
        <v>#REF!</v>
      </c>
      <c r="CG40" s="77" t="e">
        <f>IF($CA40&gt;0,VLOOKUP($CA40,#REF!,7)*#REF!,0)</f>
        <v>#REF!</v>
      </c>
      <c r="CH40" s="77" t="e">
        <f>+(CG40+CI40)/2</f>
        <v>#REF!</v>
      </c>
      <c r="CI40" s="77" t="e">
        <f>IF($CA40&gt;0,VLOOKUP($CA40,#REF!,8)*#REF!,0)</f>
        <v>#REF!</v>
      </c>
      <c r="CJ40" s="77" t="e">
        <f>IF($CA40&gt;0,VLOOKUP($CA40,#REF!,9)*#REF!,0)</f>
        <v>#REF!</v>
      </c>
      <c r="CK40" s="77" t="e">
        <f>IF($CA40&gt;0,VLOOKUP($CA40,#REF!,10)*#REF!,0)</f>
        <v>#REF!</v>
      </c>
      <c r="CL40" s="77" t="e">
        <f>IF($CA40&gt;0,VLOOKUP($CA40,#REF!,11)*#REF!,0)</f>
        <v>#REF!</v>
      </c>
      <c r="CM40" s="77" t="e">
        <f>IF($CA40&gt;0,VLOOKUP($CA40,#REF!,12)*#REF!,0)</f>
        <v>#REF!</v>
      </c>
      <c r="CN40" s="77" t="e">
        <f>IF($CA40&gt;0,VLOOKUP($CA40,#REF!,13)*#REF!,0)</f>
        <v>#REF!</v>
      </c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</row>
    <row r="41" spans="1:183" s="64" customFormat="1">
      <c r="A41" s="211"/>
      <c r="B41" s="183"/>
      <c r="C41" s="46" t="s">
        <v>102</v>
      </c>
      <c r="D41" s="106">
        <v>0.86</v>
      </c>
      <c r="E41" s="106">
        <v>0.25</v>
      </c>
      <c r="F41" s="106"/>
      <c r="G41" s="106">
        <v>0.25</v>
      </c>
      <c r="H41" s="105">
        <v>0.25</v>
      </c>
      <c r="I41" s="106">
        <v>0.25</v>
      </c>
      <c r="J41" s="106"/>
      <c r="K41" s="136">
        <v>0.25</v>
      </c>
      <c r="L41" s="108">
        <v>7.8</v>
      </c>
      <c r="M41" s="108">
        <v>3.2</v>
      </c>
      <c r="N41" s="108"/>
      <c r="O41" s="108">
        <v>2.5</v>
      </c>
      <c r="P41" s="107">
        <v>4.93</v>
      </c>
      <c r="Q41" s="108">
        <v>2.25</v>
      </c>
      <c r="R41" s="108"/>
      <c r="S41" s="108">
        <v>2.5</v>
      </c>
      <c r="T41" s="110">
        <f>+BH41+AJ41</f>
        <v>45.504999999999995</v>
      </c>
      <c r="U41" s="111">
        <f>+IF(BH41&lt;$D$75,BH41*AI41,$D$75*$AI41)</f>
        <v>0</v>
      </c>
      <c r="V41" s="111">
        <f>+IF(U41&lt;$D$75*$AI41,0,IF(BH41&lt;$D$76,BH41*AI41-U41,($D$76-$D$75)*AI41))</f>
        <v>0</v>
      </c>
      <c r="W41" s="111">
        <f>+IF(V41&lt;($D$76-$D$75)*$AI41,0,IF(BH41&gt;$D$77,($D$77-$D$76)*$AI41,BH41*$AI41-U41-V41))</f>
        <v>0</v>
      </c>
      <c r="X41" s="111">
        <f>+IF($W41&lt;($D$77-$D$76)*$AI41,0,BH41*AI41-W41-U41-V41)</f>
        <v>10.004999999999995</v>
      </c>
      <c r="Y41" s="112"/>
      <c r="Z41" s="184">
        <f>+IF(U41&gt;0,120*AI41,0)</f>
        <v>0</v>
      </c>
      <c r="AA41" s="113"/>
      <c r="AB41" s="185"/>
      <c r="AC41" s="111">
        <f>+Y41*7</f>
        <v>0</v>
      </c>
      <c r="AD41" s="111"/>
      <c r="AE41" s="116">
        <f>Y41*10/52</f>
        <v>0</v>
      </c>
      <c r="AF41" s="116">
        <f>(AW41*AK41*AM41+AZ41/2*AL41*AM41)/52</f>
        <v>0</v>
      </c>
      <c r="AG41" s="207"/>
      <c r="AH41" s="208">
        <v>47</v>
      </c>
      <c r="AI41" s="107">
        <v>1</v>
      </c>
      <c r="AJ41" s="109">
        <v>35.5</v>
      </c>
      <c r="AK41" s="168"/>
      <c r="AL41" s="168"/>
      <c r="AM41" s="169"/>
      <c r="AN41" s="46" t="e">
        <f>BW41</f>
        <v>#REF!</v>
      </c>
      <c r="AO41" s="123"/>
      <c r="AP41" s="123"/>
      <c r="AQ41" s="123"/>
      <c r="AR41" s="123"/>
      <c r="AS41" s="123"/>
      <c r="AT41" s="123"/>
      <c r="AU41" s="123"/>
      <c r="AV41" s="124">
        <f>((D41*L41)+(E41*M41)+(F41*N41)+(G41*O41))*5+((H41*P41)+(I41*Q41)+(J41*R41)+(K41*S41))*2</f>
        <v>45.504999999999995</v>
      </c>
      <c r="AW41" s="125">
        <f t="array" ref="AW41">+SUM(E41:G41*M41:O41)</f>
        <v>1.425</v>
      </c>
      <c r="AX41" s="125">
        <f t="array" ref="AX41">+SUM(H41:K41*P41:S41)*2</f>
        <v>4.84</v>
      </c>
      <c r="AY41" s="125">
        <f>((E41*AO41)+(F41*AP41)+(G41*AQ41))*5+((I41*AR41)+(J41*AS41)+(K41*AT41))*2</f>
        <v>0</v>
      </c>
      <c r="AZ41" s="125">
        <f>((J41*R41)+(K41*AU41)+(I41*Q41)+(H41*P41))*2</f>
        <v>3.59</v>
      </c>
      <c r="BA41" s="125" t="e">
        <f>((J41*R41)+(K41*S41)+(I41*Q41)+(H41*P41))*#REF!</f>
        <v>#REF!</v>
      </c>
      <c r="BB41" s="118">
        <v>1</v>
      </c>
      <c r="BC41" s="126">
        <f>AV41/AJ41</f>
        <v>1.2818309859154928</v>
      </c>
      <c r="BD41" s="113">
        <f>+SUM(AK41:AL41)/52*IF(Y41=1,0.5,IF(Y41=2,1.5,IF(Y41=4,3,IF(Y41=5,5,0))))+AV41</f>
        <v>45.504999999999995</v>
      </c>
      <c r="BE41" s="113">
        <f>+SUM(AK41:AL41)/52*AM41*IF(Y41=1,0.5,IF(Y41=2,1.5,IF(Y41=4,3,IF(Y41=5,5,0))))+AG41*AV41</f>
        <v>0</v>
      </c>
      <c r="BF41" s="113">
        <f>+(AW41*AK41*AM41+AX41/2*AL41*AM41)/52+AB41</f>
        <v>0</v>
      </c>
      <c r="BG41" s="113">
        <f>SUM(BD41:BF41)</f>
        <v>45.504999999999995</v>
      </c>
      <c r="BH41" s="127">
        <f>+(BC41-AI41)/AI41*AJ41</f>
        <v>10.004999999999995</v>
      </c>
      <c r="BI41" s="104"/>
      <c r="BJ41" s="63" t="str">
        <f>C41</f>
        <v>Ass leger</v>
      </c>
      <c r="BK41" s="125" t="e">
        <f>TRUNC(CB41*AI41/1000)</f>
        <v>#REF!</v>
      </c>
      <c r="BL41" s="125" t="e">
        <f>TRUNC(#REF!*Z41/1000)</f>
        <v>#REF!</v>
      </c>
      <c r="BM41" s="125" t="e">
        <f>TRUNC(#REF!*AA41/1000)</f>
        <v>#REF!</v>
      </c>
      <c r="BN41" s="125" t="e">
        <f>TRUNC(#REF!*AZ41*#REF!)/1000</f>
        <v>#REF!</v>
      </c>
      <c r="BO41" s="125" t="e">
        <f>IF(AJ41=35.5,TRUNC(BA41*CN41*(1-BB41)/1000),TRUNC(BA41*CN41*(1-BB41)/1000))</f>
        <v>#REF!</v>
      </c>
      <c r="BP41" s="125" t="e">
        <f>TRUNC(AY41*#REF!*CL41)/1000</f>
        <v>#REF!</v>
      </c>
      <c r="BQ41" s="125" t="e">
        <f>TRUNC((SUM(BK41:BP41)+SUM(BS41:BT41))*AG41)</f>
        <v>#REF!</v>
      </c>
      <c r="BR41" s="125"/>
      <c r="BS41" s="125" t="e">
        <f>TRUNC(#REF!*((V41*CG41)+(U41*CF41)+(W41*CI41)+(X41*CK41)))/1000</f>
        <v>#REF!</v>
      </c>
      <c r="BT41" s="125" t="e">
        <f>TRUNC(#REF!*((AC41*CG41)+(AD41*CH41)+(AE41*CI41)+(AF41*CK41))+BR41*AM41*1000)/1000</f>
        <v>#REF!</v>
      </c>
      <c r="BU41" s="125" t="e">
        <f>+BK41*#REF!</f>
        <v>#REF!</v>
      </c>
      <c r="BV41" s="125" t="e">
        <f>SUM(BK41:BU41)*#REF!</f>
        <v>#REF!</v>
      </c>
      <c r="BW41" s="125" t="e">
        <f>TRUNC(SUM(BK41:BV41))</f>
        <v>#REF!</v>
      </c>
      <c r="BX41" s="125" t="e">
        <f>+BK41+BL41+BM41+BN41+BP41+BR41+BS41+BO41</f>
        <v>#REF!</v>
      </c>
      <c r="BY41" s="125" t="e">
        <f>+BW41-BX41-BZ41</f>
        <v>#REF!</v>
      </c>
      <c r="BZ41" s="125" t="e">
        <f>+BU41+BV41</f>
        <v>#REF!</v>
      </c>
      <c r="CA41" s="63">
        <f>AH41</f>
        <v>47</v>
      </c>
      <c r="CB41" s="113" t="e">
        <f>IF($CA41&gt;0,VLOOKUP($CA41,#REF!,2)*#REF!,0)</f>
        <v>#REF!</v>
      </c>
      <c r="CC41" s="113" t="e">
        <f>IF($CA41&gt;0,VLOOKUP($CA41,#REF!,3)*#REF!,0)</f>
        <v>#REF!</v>
      </c>
      <c r="CD41" s="113" t="e">
        <f>IF($CA41&gt;0,VLOOKUP($CA41,#REF!,4)*#REF!,0)</f>
        <v>#REF!</v>
      </c>
      <c r="CE41" s="113" t="e">
        <f>IF($CA41&gt;0,VLOOKUP($CA41,#REF!,5)*#REF!,0)</f>
        <v>#REF!</v>
      </c>
      <c r="CF41" s="113" t="e">
        <f>IF($CA41&gt;0,VLOOKUP($CA41,#REF!,6)*#REF!,0)</f>
        <v>#REF!</v>
      </c>
      <c r="CG41" s="113" t="e">
        <f>IF($CA41&gt;0,VLOOKUP($CA41,#REF!,7)*#REF!,0)</f>
        <v>#REF!</v>
      </c>
      <c r="CH41" s="113" t="e">
        <f>+(CG41+CI41)/2</f>
        <v>#REF!</v>
      </c>
      <c r="CI41" s="113" t="e">
        <f>IF($CA41&gt;0,VLOOKUP($CA41,#REF!,8)*#REF!,0)</f>
        <v>#REF!</v>
      </c>
      <c r="CJ41" s="113" t="e">
        <f>IF($CA41&gt;0,VLOOKUP($CA41,#REF!,9)*#REF!,0)</f>
        <v>#REF!</v>
      </c>
      <c r="CK41" s="113" t="e">
        <f>IF($CA41&gt;0,VLOOKUP($CA41,#REF!,10)*#REF!,0)</f>
        <v>#REF!</v>
      </c>
      <c r="CL41" s="113" t="e">
        <f>IF($CA41&gt;0,VLOOKUP($CA41,#REF!,11)*#REF!,0)</f>
        <v>#REF!</v>
      </c>
      <c r="CM41" s="113" t="e">
        <f>IF($CA41&gt;0,VLOOKUP($CA41,#REF!,12)*#REF!,0)</f>
        <v>#REF!</v>
      </c>
      <c r="CN41" s="113" t="e">
        <f>IF($CA41&gt;0,VLOOKUP($CA41,#REF!,13)*#REF!,0)</f>
        <v>#REF!</v>
      </c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</row>
    <row r="42" spans="1:183" ht="14.25" customHeight="1">
      <c r="A42" s="191"/>
      <c r="B42" s="172"/>
      <c r="C42" s="102"/>
      <c r="D42" s="68"/>
      <c r="E42" s="68"/>
      <c r="F42" s="68"/>
      <c r="G42" s="68"/>
      <c r="H42" s="69"/>
      <c r="I42" s="68"/>
      <c r="J42" s="68"/>
      <c r="K42" s="135"/>
      <c r="L42" s="73"/>
      <c r="M42" s="73"/>
      <c r="N42" s="73"/>
      <c r="O42" s="73"/>
      <c r="P42" s="93"/>
      <c r="Q42" s="73"/>
      <c r="R42" s="73"/>
      <c r="S42" s="73"/>
      <c r="T42" s="151"/>
      <c r="U42" s="75"/>
      <c r="V42" s="75"/>
      <c r="W42" s="75"/>
      <c r="X42" s="77"/>
      <c r="Y42" s="152"/>
      <c r="Z42" s="192"/>
      <c r="AA42" s="77"/>
      <c r="AB42" s="193"/>
      <c r="AC42" s="194"/>
      <c r="AD42" s="75"/>
      <c r="AE42" s="77"/>
      <c r="AF42" s="77"/>
      <c r="AG42" s="195"/>
      <c r="AH42" s="196"/>
      <c r="AI42" s="197"/>
      <c r="AJ42" s="198"/>
      <c r="AK42" s="6"/>
      <c r="AL42" s="6"/>
      <c r="AM42" s="157"/>
      <c r="AN42" s="102"/>
      <c r="AO42" s="89"/>
      <c r="AP42" s="159"/>
      <c r="AQ42" s="159"/>
      <c r="AR42" s="159"/>
      <c r="AS42" s="159"/>
      <c r="AT42" s="159"/>
      <c r="AU42" s="159"/>
      <c r="AV42" s="90"/>
      <c r="AW42" s="8"/>
      <c r="AX42" s="8"/>
      <c r="AY42" s="161"/>
      <c r="AZ42" s="161"/>
      <c r="BA42" s="161"/>
      <c r="BB42" s="162"/>
      <c r="BC42" s="163"/>
      <c r="BD42" s="164"/>
      <c r="BE42" s="164"/>
      <c r="BF42" s="164"/>
      <c r="BG42" s="164"/>
      <c r="BH42" s="165"/>
      <c r="BI42" s="4"/>
      <c r="BJ42" s="5"/>
      <c r="BK42" s="161"/>
      <c r="BL42" s="161"/>
      <c r="BM42" s="161"/>
      <c r="BN42" s="161"/>
      <c r="BO42" s="161"/>
      <c r="BP42" s="161"/>
      <c r="BQ42" s="161"/>
      <c r="BR42" s="161"/>
      <c r="BS42" s="161"/>
      <c r="BT42" s="161"/>
      <c r="BU42" s="161"/>
      <c r="BV42" s="161"/>
      <c r="BW42" s="161"/>
      <c r="BX42" s="161"/>
      <c r="BY42" s="161"/>
      <c r="BZ42" s="161"/>
      <c r="CA42" s="4"/>
      <c r="CB42" s="164"/>
      <c r="CC42" s="164"/>
      <c r="CD42" s="164"/>
      <c r="CE42" s="164"/>
      <c r="CF42" s="164"/>
      <c r="CG42" s="164"/>
      <c r="CH42" s="77"/>
      <c r="CI42" s="164"/>
      <c r="CJ42" s="164"/>
      <c r="CK42" s="164"/>
      <c r="CL42" s="164"/>
      <c r="CM42" s="164"/>
      <c r="CN42" s="164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</row>
    <row r="43" spans="1:183">
      <c r="A43" s="191" t="s">
        <v>119</v>
      </c>
      <c r="B43" s="172" t="s">
        <v>106</v>
      </c>
      <c r="C43" s="102" t="s">
        <v>120</v>
      </c>
      <c r="D43" s="68">
        <v>8.5</v>
      </c>
      <c r="E43" s="68">
        <v>1</v>
      </c>
      <c r="F43" s="68">
        <v>1</v>
      </c>
      <c r="G43" s="68">
        <v>1</v>
      </c>
      <c r="H43" s="69">
        <v>1.5</v>
      </c>
      <c r="I43" s="68">
        <v>1</v>
      </c>
      <c r="J43" s="68"/>
      <c r="K43" s="135">
        <v>1</v>
      </c>
      <c r="L43" s="73">
        <v>7.5</v>
      </c>
      <c r="M43" s="73">
        <v>7.5</v>
      </c>
      <c r="N43" s="73">
        <v>8</v>
      </c>
      <c r="O43" s="73">
        <v>9.75</v>
      </c>
      <c r="P43" s="93">
        <v>7.25</v>
      </c>
      <c r="Q43" s="73">
        <v>8</v>
      </c>
      <c r="R43" s="73"/>
      <c r="S43" s="73">
        <v>10.4</v>
      </c>
      <c r="T43" s="151">
        <f>+SUM(H43:K43)*3/AI43</f>
        <v>0.7402442657134346</v>
      </c>
      <c r="U43" s="75"/>
      <c r="V43" s="75"/>
      <c r="W43" s="75"/>
      <c r="X43" s="77"/>
      <c r="Y43" s="152"/>
      <c r="Z43" s="192"/>
      <c r="AA43" s="77"/>
      <c r="AB43" s="193"/>
      <c r="AC43" s="194"/>
      <c r="AD43" s="75"/>
      <c r="AE43" s="77"/>
      <c r="AF43" s="77"/>
      <c r="AG43" s="195">
        <v>0</v>
      </c>
      <c r="AH43" s="196">
        <v>34</v>
      </c>
      <c r="AI43" s="197">
        <f>+BC43</f>
        <v>14.184507042253522</v>
      </c>
      <c r="AJ43" s="198">
        <v>35.5</v>
      </c>
      <c r="AK43" s="6"/>
      <c r="AL43" s="6"/>
      <c r="AM43" s="157"/>
      <c r="AN43" s="102" t="e">
        <f>BW43</f>
        <v>#REF!</v>
      </c>
      <c r="AO43" s="89">
        <v>3</v>
      </c>
      <c r="AP43" s="159">
        <v>5</v>
      </c>
      <c r="AQ43" s="159">
        <v>8.25</v>
      </c>
      <c r="AR43" s="159">
        <v>5</v>
      </c>
      <c r="AS43" s="159"/>
      <c r="AT43" s="159">
        <v>8.25</v>
      </c>
      <c r="AU43" s="159">
        <v>7.5</v>
      </c>
      <c r="AV43" s="90">
        <f>((D43*L43)+(E43*M43)+(F43*N43)+(G43*O43))*5+((H43*P43)+(I43*Q43)+(J43*R43)+(K43*S43))*2</f>
        <v>503.55</v>
      </c>
      <c r="AW43" s="8">
        <f t="array" ref="AW43">+SUM(E43:G43*M43:O43)</f>
        <v>25.25</v>
      </c>
      <c r="AX43" s="8">
        <f t="array" ref="AX43">+SUM(H43:K43*P43:S43)*2</f>
        <v>58.55</v>
      </c>
      <c r="AY43" s="161">
        <f>((E43*AO43)+(F43*AP43)+(G43*AQ43))*5+((I43*AR43)+(J43*AS43)+(K43*AT43))*2</f>
        <v>107.75</v>
      </c>
      <c r="AZ43" s="161">
        <f>((J43*R43)+(K43*AU43)+(I43*Q43)+(H43*P43))*2</f>
        <v>52.75</v>
      </c>
      <c r="BA43" s="161" t="e">
        <f>((J43*R43)+(K43*S43)+(I43*Q43)+(H43*P43))*#REF!</f>
        <v>#REF!</v>
      </c>
      <c r="BB43" s="162">
        <v>0</v>
      </c>
      <c r="BC43" s="163">
        <f>AV43/AJ43</f>
        <v>14.184507042253522</v>
      </c>
      <c r="BD43" s="164">
        <f>+AV43</f>
        <v>503.55</v>
      </c>
      <c r="BE43" s="164">
        <f>+AG43*BD43</f>
        <v>0</v>
      </c>
      <c r="BF43" s="164">
        <f>+(AW43*AK43*AM43+AX43/2*AL43*AM43)/52+AB43+Y43*7*(AK43+AL43)/374</f>
        <v>0</v>
      </c>
      <c r="BG43" s="164">
        <f>SUM(BD43:BF43)</f>
        <v>503.55</v>
      </c>
      <c r="BH43" s="165">
        <f>+(BC43-AI43)/AI43*AJ43</f>
        <v>0</v>
      </c>
      <c r="BI43" s="4"/>
      <c r="BJ43" s="5" t="str">
        <f>C43</f>
        <v>bioingenører</v>
      </c>
      <c r="BK43" s="161" t="e">
        <f>TRUNC(CB43*AI43/1000)</f>
        <v>#REF!</v>
      </c>
      <c r="BL43" s="161" t="e">
        <f>TRUNC(#REF!*Z43/1000)</f>
        <v>#REF!</v>
      </c>
      <c r="BM43" s="161" t="e">
        <f>TRUNC(#REF!*AA43/1000)</f>
        <v>#REF!</v>
      </c>
      <c r="BN43" s="161" t="e">
        <f>TRUNC(#REF!*AZ43*#REF!)/1000</f>
        <v>#REF!</v>
      </c>
      <c r="BO43" s="161" t="e">
        <f>IF(AJ43=35.5,TRUNC(BA43*CN43*(1-BB43)/1000),TRUNC(BA43*CN43*(1-BB43)/1000))</f>
        <v>#REF!</v>
      </c>
      <c r="BP43" s="161" t="e">
        <f>TRUNC(AY43*#REF!*CL43)/1000</f>
        <v>#REF!</v>
      </c>
      <c r="BQ43" s="161" t="e">
        <f>TRUNC((SUM(BK43:BP43)+SUM(BS43:BT43))*AG43)</f>
        <v>#REF!</v>
      </c>
      <c r="BR43" s="161"/>
      <c r="BS43" s="161" t="e">
        <f>TRUNC(#REF!*((V43*CG43)+(U43*CF43)+(W43*CI43)+(X43*CK43)))/1000</f>
        <v>#REF!</v>
      </c>
      <c r="BT43" s="161" t="e">
        <f>TRUNC(#REF!*((AC43*CG43)+(AD43*CH43)+(AE43*CI43)+(AF43*CK43))/1000)</f>
        <v>#REF!</v>
      </c>
      <c r="BU43" s="161" t="e">
        <f>+BK43*#REF!</f>
        <v>#REF!</v>
      </c>
      <c r="BV43" s="161" t="e">
        <f>SUM(BK43:BU43)*#REF!</f>
        <v>#REF!</v>
      </c>
      <c r="BW43" s="161" t="e">
        <f>TRUNC(SUM(BK43:BV43))</f>
        <v>#REF!</v>
      </c>
      <c r="BX43" s="161" t="e">
        <f>+BK43+BL43+BM43+BN43+BP43+BR43+BS43+BO43</f>
        <v>#REF!</v>
      </c>
      <c r="BY43" s="161" t="e">
        <f>+BW43-BX43-BZ43</f>
        <v>#REF!</v>
      </c>
      <c r="BZ43" s="161" t="e">
        <f>+BU43+BV43</f>
        <v>#REF!</v>
      </c>
      <c r="CA43" s="4">
        <f>AH43</f>
        <v>34</v>
      </c>
      <c r="CB43" s="164" t="e">
        <f>IF($CA43&gt;0,VLOOKUP($CA43,#REF!,2)*#REF!,0)</f>
        <v>#REF!</v>
      </c>
      <c r="CC43" s="164" t="e">
        <f>IF($CA43&gt;0,VLOOKUP($CA43,#REF!,3)*#REF!,0)</f>
        <v>#REF!</v>
      </c>
      <c r="CD43" s="164" t="e">
        <f>IF($CA43&gt;0,VLOOKUP($CA43,#REF!,4)*#REF!,0)</f>
        <v>#REF!</v>
      </c>
      <c r="CE43" s="164" t="e">
        <f>IF($CA43&gt;0,VLOOKUP($CA43,#REF!,5)*#REF!,0)</f>
        <v>#REF!</v>
      </c>
      <c r="CF43" s="164" t="e">
        <f>IF($CA43&gt;0,VLOOKUP($CA43,#REF!,6)*#REF!,0)</f>
        <v>#REF!</v>
      </c>
      <c r="CG43" s="164" t="e">
        <f>IF($CA43&gt;0,VLOOKUP($CA43,#REF!,7)*#REF!,0)</f>
        <v>#REF!</v>
      </c>
      <c r="CH43" s="77" t="e">
        <f>+(CG43+CI43)/2</f>
        <v>#REF!</v>
      </c>
      <c r="CI43" s="164" t="e">
        <f>IF($CA43&gt;0,VLOOKUP($CA43,#REF!,8)*#REF!,0)</f>
        <v>#REF!</v>
      </c>
      <c r="CJ43" s="164" t="e">
        <f>IF($CA43&gt;0,VLOOKUP($CA43,#REF!,9)*#REF!,0)</f>
        <v>#REF!</v>
      </c>
      <c r="CK43" s="164" t="e">
        <f>IF($CA43&gt;0,VLOOKUP($CA43,#REF!,10)*#REF!,0)</f>
        <v>#REF!</v>
      </c>
      <c r="CL43" s="164" t="e">
        <f>IF($CA43&gt;0,VLOOKUP($CA43,#REF!,11)*#REF!,0)</f>
        <v>#REF!</v>
      </c>
      <c r="CM43" s="164" t="e">
        <f>IF($CA43&gt;0,VLOOKUP($CA43,#REF!,12)*#REF!,0)</f>
        <v>#REF!</v>
      </c>
      <c r="CN43" s="164" t="e">
        <f>IF($CA43&gt;0,VLOOKUP($CA43,#REF!,13)*#REF!,0)</f>
        <v>#REF!</v>
      </c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</row>
    <row r="44" spans="1:183" s="64" customFormat="1">
      <c r="A44" s="182"/>
      <c r="B44" s="183"/>
      <c r="C44" s="46" t="s">
        <v>116</v>
      </c>
      <c r="D44" s="106">
        <v>1</v>
      </c>
      <c r="E44" s="106"/>
      <c r="F44" s="106"/>
      <c r="G44" s="106"/>
      <c r="H44" s="105"/>
      <c r="I44" s="106"/>
      <c r="J44" s="106"/>
      <c r="K44" s="136"/>
      <c r="L44" s="108">
        <v>7.5</v>
      </c>
      <c r="M44" s="108"/>
      <c r="N44" s="108"/>
      <c r="O44" s="108"/>
      <c r="P44" s="107"/>
      <c r="Q44" s="108"/>
      <c r="R44" s="108"/>
      <c r="S44" s="108"/>
      <c r="T44" s="140">
        <f>+SUM(H44:K44)*3/AI44</f>
        <v>0</v>
      </c>
      <c r="U44" s="111"/>
      <c r="V44" s="111"/>
      <c r="W44" s="111"/>
      <c r="X44" s="113"/>
      <c r="Y44" s="141"/>
      <c r="Z44" s="184"/>
      <c r="AA44" s="113"/>
      <c r="AB44" s="185"/>
      <c r="AC44" s="186"/>
      <c r="AD44" s="111"/>
      <c r="AE44" s="113"/>
      <c r="AF44" s="113"/>
      <c r="AG44" s="187">
        <v>0</v>
      </c>
      <c r="AH44" s="188">
        <v>42</v>
      </c>
      <c r="AI44" s="189">
        <f>+BC44</f>
        <v>1</v>
      </c>
      <c r="AJ44" s="190">
        <v>37.5</v>
      </c>
      <c r="AK44" s="63"/>
      <c r="AL44" s="63"/>
      <c r="AM44" s="147"/>
      <c r="AN44" s="46" t="e">
        <f>BW44</f>
        <v>#REF!</v>
      </c>
      <c r="AO44" s="123"/>
      <c r="AP44" s="123"/>
      <c r="AQ44" s="123"/>
      <c r="AR44" s="123"/>
      <c r="AS44" s="123"/>
      <c r="AT44" s="123"/>
      <c r="AU44" s="123"/>
      <c r="AV44" s="124">
        <f>((D44*L44)+(E44*M44)+(F44*N44)+(G44*O44))*5+((H44*P44)+(I44*Q44)+(J44*R44)+(K44*S44))*2</f>
        <v>37.5</v>
      </c>
      <c r="AW44" s="125">
        <f t="array" ref="AW44">+SUM(E44:G44*M44:O44)</f>
        <v>0</v>
      </c>
      <c r="AX44" s="125">
        <f t="array" ref="AX44">+SUM(H44:K44*P44:S44)*2</f>
        <v>0</v>
      </c>
      <c r="AY44" s="125">
        <f>((E44*AO44)+(F44*AP44)+(G44*AQ44))*5+((I44*AR44)+(J44*AS44)+(K44*AT44))*2</f>
        <v>0</v>
      </c>
      <c r="AZ44" s="125">
        <f>((J44*R44)+(K44*AU44)+(I44*Q44)+(H44*P44))*2</f>
        <v>0</v>
      </c>
      <c r="BA44" s="125" t="e">
        <f>((J44*R44)+(K44*S44)+(I44*Q44)+(H44*P44))*#REF!</f>
        <v>#REF!</v>
      </c>
      <c r="BB44" s="118">
        <v>0</v>
      </c>
      <c r="BC44" s="126">
        <f>AV44/AJ44</f>
        <v>1</v>
      </c>
      <c r="BD44" s="113">
        <f>+AV44</f>
        <v>37.5</v>
      </c>
      <c r="BE44" s="113">
        <f>+AG44*BD44</f>
        <v>0</v>
      </c>
      <c r="BF44" s="113">
        <f>+(AW44*AK44*AM44+AX44/2*AL44*AM44)/52+AB44+Y44*7*(AK44+AL44)/374</f>
        <v>0</v>
      </c>
      <c r="BG44" s="113">
        <f>SUM(BD44:BF44)</f>
        <v>37.5</v>
      </c>
      <c r="BH44" s="127">
        <f>+(BC44-AI44)/AI44*AJ44</f>
        <v>0</v>
      </c>
      <c r="BI44" s="62"/>
      <c r="BJ44" s="63" t="str">
        <f>C44</f>
        <v>sekr\avd.sjuk</v>
      </c>
      <c r="BK44" s="125" t="e">
        <f>TRUNC(CB44*AI44/1000)</f>
        <v>#REF!</v>
      </c>
      <c r="BL44" s="125" t="e">
        <f>TRUNC(#REF!*Z44/1000)</f>
        <v>#REF!</v>
      </c>
      <c r="BM44" s="125" t="e">
        <f>TRUNC(#REF!*AA44/1000)</f>
        <v>#REF!</v>
      </c>
      <c r="BN44" s="125" t="e">
        <f>TRUNC(#REF!*AZ44*#REF!)/1000</f>
        <v>#REF!</v>
      </c>
      <c r="BO44" s="125" t="e">
        <f>IF(AJ44=35.5,TRUNC(BA44*CN44*(1-BB44)/1000),TRUNC(BA44*CN44*(1-BB44)/1000))</f>
        <v>#REF!</v>
      </c>
      <c r="BP44" s="125" t="e">
        <f>TRUNC(AY44*#REF!*CL44)/1000</f>
        <v>#REF!</v>
      </c>
      <c r="BQ44" s="125" t="e">
        <f>TRUNC((SUM(BK44:BP44)+SUM(BS44:BT44))*AG44)</f>
        <v>#REF!</v>
      </c>
      <c r="BR44" s="125"/>
      <c r="BS44" s="125" t="e">
        <f>TRUNC(#REF!*((V44*CG44)+(U44*CF44)+(W44*CI44)+(X44*CK44)))/1000</f>
        <v>#REF!</v>
      </c>
      <c r="BT44" s="125" t="e">
        <f>TRUNC(#REF!*((AC44*CG44)+(AD44*CH44)+(AE44*CI44)+(AF44*CK44))/1000)</f>
        <v>#REF!</v>
      </c>
      <c r="BU44" s="125" t="e">
        <f>+BK44*#REF!</f>
        <v>#REF!</v>
      </c>
      <c r="BV44" s="125" t="e">
        <f>SUM(BK44:BU44)*#REF!</f>
        <v>#REF!</v>
      </c>
      <c r="BW44" s="125" t="e">
        <f>TRUNC(SUM(BK44:BV44))</f>
        <v>#REF!</v>
      </c>
      <c r="BX44" s="125" t="e">
        <f>+BK44+BL44+BM44+BN44+BP44+BR44+BS44+BO44</f>
        <v>#REF!</v>
      </c>
      <c r="BY44" s="125" t="e">
        <f>+BW44-BX44-BZ44</f>
        <v>#REF!</v>
      </c>
      <c r="BZ44" s="125" t="e">
        <f>+BU44+BV44</f>
        <v>#REF!</v>
      </c>
      <c r="CA44" s="62">
        <f>AH44</f>
        <v>42</v>
      </c>
      <c r="CB44" s="113" t="e">
        <f>IF($CA44&gt;0,VLOOKUP($CA44,#REF!,2)*#REF!,0)</f>
        <v>#REF!</v>
      </c>
      <c r="CC44" s="113" t="e">
        <f>IF($CA44&gt;0,VLOOKUP($CA44,#REF!,3)*#REF!,0)</f>
        <v>#REF!</v>
      </c>
      <c r="CD44" s="113" t="e">
        <f>IF($CA44&gt;0,VLOOKUP($CA44,#REF!,4)*#REF!,0)</f>
        <v>#REF!</v>
      </c>
      <c r="CE44" s="113" t="e">
        <f>IF($CA44&gt;0,VLOOKUP($CA44,#REF!,5)*#REF!,0)</f>
        <v>#REF!</v>
      </c>
      <c r="CF44" s="113" t="e">
        <f>IF($CA44&gt;0,VLOOKUP($CA44,#REF!,6)*#REF!,0)</f>
        <v>#REF!</v>
      </c>
      <c r="CG44" s="113" t="e">
        <f>IF($CA44&gt;0,VLOOKUP($CA44,#REF!,7)*#REF!,0)</f>
        <v>#REF!</v>
      </c>
      <c r="CH44" s="170" t="e">
        <f>+(CG44+CI44)/2</f>
        <v>#REF!</v>
      </c>
      <c r="CI44" s="113" t="e">
        <f>IF($CA44&gt;0,VLOOKUP($CA44,#REF!,8)*#REF!,0)</f>
        <v>#REF!</v>
      </c>
      <c r="CJ44" s="113" t="e">
        <f>IF($CA44&gt;0,VLOOKUP($CA44,#REF!,9)*#REF!,0)</f>
        <v>#REF!</v>
      </c>
      <c r="CK44" s="113" t="e">
        <f>IF($CA44&gt;0,VLOOKUP($CA44,#REF!,10)*#REF!,0)</f>
        <v>#REF!</v>
      </c>
      <c r="CL44" s="113" t="e">
        <f>IF($CA44&gt;0,VLOOKUP($CA44,#REF!,11)*#REF!,0)</f>
        <v>#REF!</v>
      </c>
      <c r="CM44" s="113" t="e">
        <f>IF($CA44&gt;0,VLOOKUP($CA44,#REF!,12)*#REF!,0)</f>
        <v>#REF!</v>
      </c>
      <c r="CN44" s="113" t="e">
        <f>IF($CA44&gt;0,VLOOKUP($CA44,#REF!,13)*#REF!,0)</f>
        <v>#REF!</v>
      </c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</row>
    <row r="45" spans="1:183">
      <c r="A45" s="191"/>
      <c r="B45" s="172"/>
      <c r="C45" s="102"/>
      <c r="D45" s="68"/>
      <c r="E45" s="68"/>
      <c r="F45" s="68"/>
      <c r="G45" s="68"/>
      <c r="H45" s="69"/>
      <c r="I45" s="68"/>
      <c r="J45" s="68"/>
      <c r="K45" s="135"/>
      <c r="L45" s="73"/>
      <c r="M45" s="73"/>
      <c r="N45" s="73"/>
      <c r="O45" s="73"/>
      <c r="P45" s="93"/>
      <c r="Q45" s="73"/>
      <c r="R45" s="73"/>
      <c r="S45" s="73"/>
      <c r="T45" s="151"/>
      <c r="U45" s="75"/>
      <c r="V45" s="75"/>
      <c r="W45" s="75"/>
      <c r="X45" s="77"/>
      <c r="Y45" s="152"/>
      <c r="Z45" s="192"/>
      <c r="AA45" s="77"/>
      <c r="AB45" s="193"/>
      <c r="AC45" s="194"/>
      <c r="AD45" s="75"/>
      <c r="AE45" s="77"/>
      <c r="AF45" s="77"/>
      <c r="AG45" s="195"/>
      <c r="AH45" s="196"/>
      <c r="AI45" s="197"/>
      <c r="AJ45" s="198"/>
      <c r="AK45" s="6"/>
      <c r="AL45" s="6"/>
      <c r="AM45" s="157"/>
      <c r="AN45" s="102"/>
      <c r="AO45" s="89"/>
      <c r="AP45" s="159"/>
      <c r="AQ45" s="159"/>
      <c r="AR45" s="159"/>
      <c r="AS45" s="159"/>
      <c r="AT45" s="159"/>
      <c r="AU45" s="159"/>
      <c r="AV45" s="90"/>
      <c r="AW45" s="8"/>
      <c r="AX45" s="8"/>
      <c r="AY45" s="161"/>
      <c r="AZ45" s="161"/>
      <c r="BA45" s="161"/>
      <c r="BB45" s="162"/>
      <c r="BC45" s="163"/>
      <c r="BD45" s="164"/>
      <c r="BE45" s="164"/>
      <c r="BF45" s="164"/>
      <c r="BG45" s="164"/>
      <c r="BH45" s="165"/>
      <c r="BI45" s="4"/>
      <c r="BJ45" s="5"/>
      <c r="BK45" s="161"/>
      <c r="BL45" s="161"/>
      <c r="BM45" s="161"/>
      <c r="BN45" s="161"/>
      <c r="BO45" s="161"/>
      <c r="BP45" s="161"/>
      <c r="BQ45" s="161"/>
      <c r="BR45" s="161"/>
      <c r="BS45" s="161"/>
      <c r="BT45" s="161"/>
      <c r="BU45" s="161"/>
      <c r="BV45" s="161"/>
      <c r="BW45" s="161"/>
      <c r="BX45" s="161"/>
      <c r="BY45" s="161"/>
      <c r="BZ45" s="161"/>
      <c r="CA45" s="4"/>
      <c r="CB45" s="164"/>
      <c r="CC45" s="164"/>
      <c r="CD45" s="164"/>
      <c r="CE45" s="164"/>
      <c r="CF45" s="164"/>
      <c r="CG45" s="164"/>
      <c r="CH45" s="77"/>
      <c r="CI45" s="164"/>
      <c r="CJ45" s="164"/>
      <c r="CK45" s="164"/>
      <c r="CL45" s="164"/>
      <c r="CM45" s="164"/>
      <c r="CN45" s="164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</row>
    <row r="46" spans="1:183">
      <c r="A46" s="191" t="s">
        <v>121</v>
      </c>
      <c r="B46" s="172" t="s">
        <v>106</v>
      </c>
      <c r="C46" s="102" t="s">
        <v>122</v>
      </c>
      <c r="D46" s="68">
        <v>6.2</v>
      </c>
      <c r="E46" s="68">
        <v>1</v>
      </c>
      <c r="F46" s="68"/>
      <c r="G46" s="68">
        <v>0.2</v>
      </c>
      <c r="H46" s="69">
        <v>1</v>
      </c>
      <c r="I46" s="68">
        <v>1</v>
      </c>
      <c r="J46" s="68"/>
      <c r="K46" s="135">
        <v>0.2</v>
      </c>
      <c r="L46" s="73">
        <v>7.5</v>
      </c>
      <c r="M46" s="73">
        <v>8</v>
      </c>
      <c r="N46" s="73"/>
      <c r="O46" s="73">
        <v>9.5</v>
      </c>
      <c r="P46" s="93">
        <v>7.5</v>
      </c>
      <c r="Q46" s="73">
        <v>8</v>
      </c>
      <c r="R46" s="73"/>
      <c r="S46" s="73">
        <v>9.5</v>
      </c>
      <c r="T46" s="151">
        <f>+SUM(H46:K46)*3/AI46</f>
        <v>0.73958333333333337</v>
      </c>
      <c r="U46" s="75"/>
      <c r="V46" s="75"/>
      <c r="W46" s="75"/>
      <c r="X46" s="77"/>
      <c r="Y46" s="152"/>
      <c r="Z46" s="192"/>
      <c r="AA46" s="77"/>
      <c r="AB46" s="193"/>
      <c r="AC46" s="194"/>
      <c r="AD46" s="75"/>
      <c r="AE46" s="77"/>
      <c r="AF46" s="77"/>
      <c r="AG46" s="195">
        <v>0</v>
      </c>
      <c r="AH46" s="196">
        <v>29</v>
      </c>
      <c r="AI46" s="197">
        <f>+BC46</f>
        <v>8.9239436619718315</v>
      </c>
      <c r="AJ46" s="198">
        <v>35.5</v>
      </c>
      <c r="AK46" s="6"/>
      <c r="AL46" s="6"/>
      <c r="AM46" s="157"/>
      <c r="AN46" s="102" t="e">
        <f>BW46</f>
        <v>#REF!</v>
      </c>
      <c r="AO46" s="89">
        <v>5.5</v>
      </c>
      <c r="AP46" s="159"/>
      <c r="AQ46" s="159">
        <v>7.5</v>
      </c>
      <c r="AR46" s="159">
        <v>5.5</v>
      </c>
      <c r="AS46" s="159"/>
      <c r="AT46" s="159">
        <v>7.5</v>
      </c>
      <c r="AU46" s="159">
        <v>8</v>
      </c>
      <c r="AV46" s="90">
        <f>((D46*L46)+(E46*M46)+(F46*N46)+(G46*O46))*5+((H46*P46)+(I46*Q46)+(J46*R46)+(K46*S46))*2</f>
        <v>316.8</v>
      </c>
      <c r="AW46" s="8">
        <f t="array" ref="AW46">+SUM(E46:G46*M46:O46)</f>
        <v>9.9</v>
      </c>
      <c r="AX46" s="8">
        <f t="array" ref="AX46">+SUM(H46:K46*P46:S46)*2</f>
        <v>34.799999999999997</v>
      </c>
      <c r="AY46" s="161">
        <f>((E46*AO46)+(F46*AP46)+(G46*AQ46))*5+((I46*AR46)+(J46*AS46)+(K46*AT46))*2</f>
        <v>49</v>
      </c>
      <c r="AZ46" s="161">
        <f>((J46*R46)+(K46*AU46)+(I46*Q46)+(H46*P46))*2</f>
        <v>34.200000000000003</v>
      </c>
      <c r="BA46" s="161" t="e">
        <f>((J46*R46)+(K46*S46)+(I46*Q46)+(H46*P46))*#REF!</f>
        <v>#REF!</v>
      </c>
      <c r="BB46" s="162">
        <v>0</v>
      </c>
      <c r="BC46" s="163">
        <f>AV46/AJ46</f>
        <v>8.9239436619718315</v>
      </c>
      <c r="BD46" s="164">
        <f>+AV46</f>
        <v>316.8</v>
      </c>
      <c r="BE46" s="164">
        <f>+AG46*BD46</f>
        <v>0</v>
      </c>
      <c r="BF46" s="164">
        <f>+(AW46*AK46*AM46+AX46/2*AL46*AM46)/52+AB46+Y46*7*(AK46+AL46)/374</f>
        <v>0</v>
      </c>
      <c r="BG46" s="164">
        <f>SUM(BD46:BF46)</f>
        <v>316.8</v>
      </c>
      <c r="BH46" s="165">
        <f>+(BC46-AI46)/AI46*AJ46</f>
        <v>0</v>
      </c>
      <c r="BI46" s="4"/>
      <c r="BJ46" s="5" t="str">
        <f>C46</f>
        <v>sjpl\radiograf</v>
      </c>
      <c r="BK46" s="161" t="e">
        <f>TRUNC(CB46*AI46/1000)</f>
        <v>#REF!</v>
      </c>
      <c r="BL46" s="161" t="e">
        <f>TRUNC(#REF!*Z46/1000)</f>
        <v>#REF!</v>
      </c>
      <c r="BM46" s="161" t="e">
        <f>TRUNC(#REF!*AA46/1000)</f>
        <v>#REF!</v>
      </c>
      <c r="BN46" s="161" t="e">
        <f>TRUNC(#REF!*AZ46*#REF!)/1000</f>
        <v>#REF!</v>
      </c>
      <c r="BO46" s="161" t="e">
        <f>IF(AJ46=35.5,TRUNC(BA46*CN46*(1-BB46)/1000),TRUNC(BA46*CN46*(1-BB46)/1000))</f>
        <v>#REF!</v>
      </c>
      <c r="BP46" s="161" t="e">
        <f>TRUNC(AY46*#REF!*CL46)/1000</f>
        <v>#REF!</v>
      </c>
      <c r="BQ46" s="161" t="e">
        <f>TRUNC((SUM(BK46:BP46)+SUM(BS46:BT46))*AG46)</f>
        <v>#REF!</v>
      </c>
      <c r="BR46" s="161"/>
      <c r="BS46" s="161" t="e">
        <f>TRUNC(#REF!*((V46*CG46)+(U46*CF46)+(W46*CI46)+(X46*CK46)))/1000</f>
        <v>#REF!</v>
      </c>
      <c r="BT46" s="161" t="e">
        <f>TRUNC(#REF!*((AC46*CG46)+(AD46*CH46)+(AE46*CI46)+(AF46*CK46))/1000)</f>
        <v>#REF!</v>
      </c>
      <c r="BU46" s="161" t="e">
        <f>+BK46*#REF!</f>
        <v>#REF!</v>
      </c>
      <c r="BV46" s="161" t="e">
        <f>SUM(BK46:BU46)*#REF!</f>
        <v>#REF!</v>
      </c>
      <c r="BW46" s="161" t="e">
        <f>TRUNC(SUM(BK46:BV46))</f>
        <v>#REF!</v>
      </c>
      <c r="BX46" s="161" t="e">
        <f>+BK46+BL46+BM46+BN46+BP46+BR46+BS46+BO46</f>
        <v>#REF!</v>
      </c>
      <c r="BY46" s="161" t="e">
        <f>+BW46-BX46-BZ46</f>
        <v>#REF!</v>
      </c>
      <c r="BZ46" s="161" t="e">
        <f>+BU46+BV46</f>
        <v>#REF!</v>
      </c>
      <c r="CA46" s="4">
        <f>AH46</f>
        <v>29</v>
      </c>
      <c r="CB46" s="164" t="e">
        <f>IF($CA46&gt;0,VLOOKUP($CA46,#REF!,2)*#REF!,0)</f>
        <v>#REF!</v>
      </c>
      <c r="CC46" s="164" t="e">
        <f>IF($CA46&gt;0,VLOOKUP($CA46,#REF!,3)*#REF!,0)</f>
        <v>#REF!</v>
      </c>
      <c r="CD46" s="164" t="e">
        <f>IF($CA46&gt;0,VLOOKUP($CA46,#REF!,4)*#REF!,0)</f>
        <v>#REF!</v>
      </c>
      <c r="CE46" s="164" t="e">
        <f>IF($CA46&gt;0,VLOOKUP($CA46,#REF!,5)*#REF!,0)</f>
        <v>#REF!</v>
      </c>
      <c r="CF46" s="164" t="e">
        <f>IF($CA46&gt;0,VLOOKUP($CA46,#REF!,6)*#REF!,0)</f>
        <v>#REF!</v>
      </c>
      <c r="CG46" s="164" t="e">
        <f>IF($CA46&gt;0,VLOOKUP($CA46,#REF!,7)*#REF!,0)</f>
        <v>#REF!</v>
      </c>
      <c r="CH46" s="77" t="e">
        <f>+(CG46+CI46)/2</f>
        <v>#REF!</v>
      </c>
      <c r="CI46" s="164" t="e">
        <f>IF($CA46&gt;0,VLOOKUP($CA46,#REF!,8)*#REF!,0)</f>
        <v>#REF!</v>
      </c>
      <c r="CJ46" s="164" t="e">
        <f>IF($CA46&gt;0,VLOOKUP($CA46,#REF!,9)*#REF!,0)</f>
        <v>#REF!</v>
      </c>
      <c r="CK46" s="164" t="e">
        <f>IF($CA46&gt;0,VLOOKUP($CA46,#REF!,10)*#REF!,0)</f>
        <v>#REF!</v>
      </c>
      <c r="CL46" s="164" t="e">
        <f>IF($CA46&gt;0,VLOOKUP($CA46,#REF!,11)*#REF!,0)</f>
        <v>#REF!</v>
      </c>
      <c r="CM46" s="164" t="e">
        <f>IF($CA46&gt;0,VLOOKUP($CA46,#REF!,12)*#REF!,0)</f>
        <v>#REF!</v>
      </c>
      <c r="CN46" s="164" t="e">
        <f>IF($CA46&gt;0,VLOOKUP($CA46,#REF!,13)*#REF!,0)</f>
        <v>#REF!</v>
      </c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</row>
    <row r="47" spans="1:183">
      <c r="A47" s="191"/>
      <c r="B47" s="172" t="s">
        <v>106</v>
      </c>
      <c r="C47" s="102" t="s">
        <v>115</v>
      </c>
      <c r="D47" s="68">
        <v>1</v>
      </c>
      <c r="E47" s="68"/>
      <c r="F47" s="68"/>
      <c r="G47" s="68"/>
      <c r="H47" s="69"/>
      <c r="I47" s="68"/>
      <c r="J47" s="68"/>
      <c r="K47" s="135"/>
      <c r="L47" s="73">
        <v>7.5</v>
      </c>
      <c r="M47" s="73"/>
      <c r="N47" s="73"/>
      <c r="O47" s="73"/>
      <c r="P47" s="93"/>
      <c r="Q47" s="73"/>
      <c r="R47" s="73"/>
      <c r="S47" s="73"/>
      <c r="T47" s="151">
        <f>+SUM(H47:K47)*3/AI47</f>
        <v>0</v>
      </c>
      <c r="U47" s="75"/>
      <c r="V47" s="75"/>
      <c r="W47" s="75"/>
      <c r="X47" s="77"/>
      <c r="Y47" s="152"/>
      <c r="Z47" s="192"/>
      <c r="AA47" s="77"/>
      <c r="AB47" s="193"/>
      <c r="AC47" s="194"/>
      <c r="AD47" s="75"/>
      <c r="AE47" s="77"/>
      <c r="AF47" s="77"/>
      <c r="AG47" s="195">
        <v>0</v>
      </c>
      <c r="AH47" s="196">
        <v>28</v>
      </c>
      <c r="AI47" s="197">
        <f>+BC47</f>
        <v>1.056338028169014</v>
      </c>
      <c r="AJ47" s="198">
        <v>35.5</v>
      </c>
      <c r="AK47" s="6"/>
      <c r="AL47" s="6"/>
      <c r="AM47" s="157"/>
      <c r="AN47" s="102" t="e">
        <f>BW47</f>
        <v>#REF!</v>
      </c>
      <c r="AO47" s="89"/>
      <c r="AP47" s="159"/>
      <c r="AQ47" s="159"/>
      <c r="AR47" s="159"/>
      <c r="AS47" s="159"/>
      <c r="AT47" s="159"/>
      <c r="AU47" s="159"/>
      <c r="AV47" s="90">
        <f>((D47*L47)+(E47*M47)+(F47*N47)+(G47*O47))*5+((H47*P47)+(I47*Q47)+(J47*R47)+(K47*S47))*2</f>
        <v>37.5</v>
      </c>
      <c r="AW47" s="8">
        <f t="array" ref="AW47">+SUM(E47:G47*M47:O47)</f>
        <v>0</v>
      </c>
      <c r="AX47" s="8">
        <f t="array" ref="AX47">+SUM(H47:K47*P47:S47)*2</f>
        <v>0</v>
      </c>
      <c r="AY47" s="161">
        <f>((E47*AO47)+(F47*AP47)+(G47*AQ47))*5+((I47*AR47)+(J47*AS47)+(K47*AT47))*2</f>
        <v>0</v>
      </c>
      <c r="AZ47" s="161">
        <f>((J47*R47)+(K47*AU47)+(I47*Q47)+(H47*P47))*2</f>
        <v>0</v>
      </c>
      <c r="BA47" s="161" t="e">
        <f>((J47*R47)+(K47*S47)+(I47*Q47)+(H47*P47))*#REF!</f>
        <v>#REF!</v>
      </c>
      <c r="BB47" s="162">
        <v>0</v>
      </c>
      <c r="BC47" s="163">
        <f>AV47/AJ47</f>
        <v>1.056338028169014</v>
      </c>
      <c r="BD47" s="164">
        <f>+AV47</f>
        <v>37.5</v>
      </c>
      <c r="BE47" s="164">
        <f>+AG47*BD47</f>
        <v>0</v>
      </c>
      <c r="BF47" s="164">
        <f>+(AW47*AK47*AM47+AX47/2*AL47*AM47)/52+AB47+Y47*7*(AK47+AL47)/374</f>
        <v>0</v>
      </c>
      <c r="BG47" s="164">
        <f>SUM(BD47:BF47)</f>
        <v>37.5</v>
      </c>
      <c r="BH47" s="165">
        <f>+(BC47-AI47)/AI47*AJ47</f>
        <v>0</v>
      </c>
      <c r="BI47" s="4"/>
      <c r="BJ47" s="5" t="str">
        <f>C47</f>
        <v>hjelpepleier</v>
      </c>
      <c r="BK47" s="161" t="e">
        <f>TRUNC(CB47*AI47/1000)</f>
        <v>#REF!</v>
      </c>
      <c r="BL47" s="161" t="e">
        <f>TRUNC(#REF!*Z47/1000)</f>
        <v>#REF!</v>
      </c>
      <c r="BM47" s="161" t="e">
        <f>TRUNC(#REF!*AA47/1000)</f>
        <v>#REF!</v>
      </c>
      <c r="BN47" s="161" t="e">
        <f>TRUNC(#REF!*AZ47*#REF!)/1000</f>
        <v>#REF!</v>
      </c>
      <c r="BO47" s="161" t="e">
        <f>IF(AJ47=35.5,TRUNC(BA47*CN47*(1-BB47)/1000),TRUNC(BA47*CN47*(1-BB47)/1000))</f>
        <v>#REF!</v>
      </c>
      <c r="BP47" s="161" t="e">
        <f>TRUNC(AY47*#REF!*CL47)/1000</f>
        <v>#REF!</v>
      </c>
      <c r="BQ47" s="161" t="e">
        <f>TRUNC((SUM(BK47:BP47)+SUM(BS47:BT47))*AG47)</f>
        <v>#REF!</v>
      </c>
      <c r="BR47" s="161"/>
      <c r="BS47" s="161" t="e">
        <f>TRUNC(#REF!*((V47*CG47)+(U47*CF47)+(W47*CI47)+(X47*CK47)))/1000</f>
        <v>#REF!</v>
      </c>
      <c r="BT47" s="161" t="e">
        <f>TRUNC(#REF!*((AC47*CG47)+(AD47*CH47)+(AE47*CI47)+(AF47*CK47))/1000)</f>
        <v>#REF!</v>
      </c>
      <c r="BU47" s="161" t="e">
        <f>+BK47*#REF!</f>
        <v>#REF!</v>
      </c>
      <c r="BV47" s="161" t="e">
        <f>SUM(BK47:BU47)*#REF!</f>
        <v>#REF!</v>
      </c>
      <c r="BW47" s="161" t="e">
        <f>TRUNC(SUM(BK47:BV47))</f>
        <v>#REF!</v>
      </c>
      <c r="BX47" s="161" t="e">
        <f>+BK47+BL47+BM47+BN47+BP47+BR47+BS47+BO47</f>
        <v>#REF!</v>
      </c>
      <c r="BY47" s="161" t="e">
        <f>+BW47-BX47-BZ47</f>
        <v>#REF!</v>
      </c>
      <c r="BZ47" s="161" t="e">
        <f>+BU47+BV47</f>
        <v>#REF!</v>
      </c>
      <c r="CA47" s="4">
        <f>AH47</f>
        <v>28</v>
      </c>
      <c r="CB47" s="164" t="e">
        <f>IF($CA47&gt;0,VLOOKUP($CA47,#REF!,2)*#REF!,0)</f>
        <v>#REF!</v>
      </c>
      <c r="CC47" s="164" t="e">
        <f>IF($CA47&gt;0,VLOOKUP($CA47,#REF!,3)*#REF!,0)</f>
        <v>#REF!</v>
      </c>
      <c r="CD47" s="164" t="e">
        <f>IF($CA47&gt;0,VLOOKUP($CA47,#REF!,4)*#REF!,0)</f>
        <v>#REF!</v>
      </c>
      <c r="CE47" s="164" t="e">
        <f>IF($CA47&gt;0,VLOOKUP($CA47,#REF!,5)*#REF!,0)</f>
        <v>#REF!</v>
      </c>
      <c r="CF47" s="164" t="e">
        <f>IF($CA47&gt;0,VLOOKUP($CA47,#REF!,6)*#REF!,0)</f>
        <v>#REF!</v>
      </c>
      <c r="CG47" s="164" t="e">
        <f>IF($CA47&gt;0,VLOOKUP($CA47,#REF!,7)*#REF!,0)</f>
        <v>#REF!</v>
      </c>
      <c r="CH47" s="77" t="e">
        <f>+(CG47+CI47)/2</f>
        <v>#REF!</v>
      </c>
      <c r="CI47" s="164" t="e">
        <f>IF($CA47&gt;0,VLOOKUP($CA47,#REF!,8)*#REF!,0)</f>
        <v>#REF!</v>
      </c>
      <c r="CJ47" s="164" t="e">
        <f>IF($CA47&gt;0,VLOOKUP($CA47,#REF!,9)*#REF!,0)</f>
        <v>#REF!</v>
      </c>
      <c r="CK47" s="164" t="e">
        <f>IF($CA47&gt;0,VLOOKUP($CA47,#REF!,10)*#REF!,0)</f>
        <v>#REF!</v>
      </c>
      <c r="CL47" s="164" t="e">
        <f>IF($CA47&gt;0,VLOOKUP($CA47,#REF!,11)*#REF!,0)</f>
        <v>#REF!</v>
      </c>
      <c r="CM47" s="164" t="e">
        <f>IF($CA47&gt;0,VLOOKUP($CA47,#REF!,12)*#REF!,0)</f>
        <v>#REF!</v>
      </c>
      <c r="CN47" s="164" t="e">
        <f>IF($CA47&gt;0,VLOOKUP($CA47,#REF!,13)*#REF!,0)</f>
        <v>#REF!</v>
      </c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</row>
    <row r="48" spans="1:183">
      <c r="A48" s="191"/>
      <c r="B48" s="172"/>
      <c r="C48" s="102" t="s">
        <v>123</v>
      </c>
      <c r="D48" s="68">
        <v>1</v>
      </c>
      <c r="E48" s="68"/>
      <c r="F48" s="68"/>
      <c r="G48" s="68"/>
      <c r="H48" s="69"/>
      <c r="I48" s="68"/>
      <c r="J48" s="68"/>
      <c r="K48" s="135"/>
      <c r="L48" s="73">
        <v>7.5</v>
      </c>
      <c r="M48" s="73"/>
      <c r="N48" s="73"/>
      <c r="O48" s="73"/>
      <c r="P48" s="93"/>
      <c r="Q48" s="73"/>
      <c r="R48" s="73"/>
      <c r="S48" s="73"/>
      <c r="T48" s="151">
        <f>+SUM(H48:K48)*3/AI48</f>
        <v>0</v>
      </c>
      <c r="U48" s="75"/>
      <c r="V48" s="75"/>
      <c r="W48" s="75"/>
      <c r="X48" s="77"/>
      <c r="Y48" s="152"/>
      <c r="Z48" s="192"/>
      <c r="AA48" s="77"/>
      <c r="AB48" s="193"/>
      <c r="AC48" s="194"/>
      <c r="AD48" s="75"/>
      <c r="AE48" s="77"/>
      <c r="AF48" s="77"/>
      <c r="AG48" s="195">
        <f>+AG44</f>
        <v>0</v>
      </c>
      <c r="AH48" s="196">
        <v>42</v>
      </c>
      <c r="AI48" s="197">
        <f>+BC48</f>
        <v>1</v>
      </c>
      <c r="AJ48" s="198">
        <v>37.5</v>
      </c>
      <c r="AK48" s="6"/>
      <c r="AL48" s="6"/>
      <c r="AM48" s="157"/>
      <c r="AN48" s="102" t="e">
        <f>BW48</f>
        <v>#REF!</v>
      </c>
      <c r="AO48" s="89"/>
      <c r="AP48" s="159"/>
      <c r="AQ48" s="159"/>
      <c r="AR48" s="159"/>
      <c r="AS48" s="159"/>
      <c r="AT48" s="159"/>
      <c r="AU48" s="159"/>
      <c r="AV48" s="90">
        <f>((D48*L48)+(E48*M48)+(F48*N48)+(G48*O48))*5+((H48*P48)+(I48*Q48)+(J48*R48)+(K48*S48))*2</f>
        <v>37.5</v>
      </c>
      <c r="AW48" s="8">
        <f t="array" ref="AW48">+SUM(E48:G48*M48:O48)</f>
        <v>0</v>
      </c>
      <c r="AX48" s="8">
        <f t="array" ref="AX48">+SUM(H48:K48*P48:S48)*2</f>
        <v>0</v>
      </c>
      <c r="AY48" s="161">
        <f>((E48*AO48)+(F48*AP48)+(G48*AQ48))*5+((I48*AR48)+(J48*AS48)+(K48*AT48))*2</f>
        <v>0</v>
      </c>
      <c r="AZ48" s="161">
        <f>((J48*R48)+(K48*AU48)+(I48*Q48)+(H48*P48))*2</f>
        <v>0</v>
      </c>
      <c r="BA48" s="161" t="e">
        <f>((J48*R48)+(K48*S48)+(I48*Q48)+(H48*P48))*#REF!</f>
        <v>#REF!</v>
      </c>
      <c r="BB48" s="162">
        <v>0</v>
      </c>
      <c r="BC48" s="163">
        <f>AV48/AJ48</f>
        <v>1</v>
      </c>
      <c r="BD48" s="164">
        <f>+AV48</f>
        <v>37.5</v>
      </c>
      <c r="BE48" s="164">
        <f>+AG48*BD48</f>
        <v>0</v>
      </c>
      <c r="BF48" s="164">
        <f>+(AW48*AK48*AM48+AX48/2*AL48*AM48)/52+AB48+Y48*7*(AK48+AL48)/374</f>
        <v>0</v>
      </c>
      <c r="BG48" s="164">
        <f>SUM(BD48:BF48)</f>
        <v>37.5</v>
      </c>
      <c r="BH48" s="165">
        <f>+(BC48-AI48)/AI48*AJ48</f>
        <v>0</v>
      </c>
      <c r="BI48" s="4"/>
      <c r="BJ48" s="5" t="str">
        <f>C48</f>
        <v>avd.sjuk</v>
      </c>
      <c r="BK48" s="161" t="e">
        <f>TRUNC(CB48*AI48/1000)</f>
        <v>#REF!</v>
      </c>
      <c r="BL48" s="161" t="e">
        <f>TRUNC(#REF!*Z48/1000)</f>
        <v>#REF!</v>
      </c>
      <c r="BM48" s="161" t="e">
        <f>TRUNC(#REF!*AA48/1000)</f>
        <v>#REF!</v>
      </c>
      <c r="BN48" s="161" t="e">
        <f>TRUNC(#REF!*AZ48*#REF!)/1000</f>
        <v>#REF!</v>
      </c>
      <c r="BO48" s="161" t="e">
        <f>IF(AJ48=35.5,TRUNC(BA48*CN48*(1-BB48)/1000),TRUNC(BA48*CN48*(1-BB48)/1000))</f>
        <v>#REF!</v>
      </c>
      <c r="BP48" s="161" t="e">
        <f>TRUNC(AY48*#REF!*CL48)/1000</f>
        <v>#REF!</v>
      </c>
      <c r="BQ48" s="161" t="e">
        <f>TRUNC((SUM(BK48:BP48)+SUM(BS48:BT48))*AG48)</f>
        <v>#REF!</v>
      </c>
      <c r="BR48" s="161"/>
      <c r="BS48" s="161" t="e">
        <f>TRUNC(#REF!*((V48*CG48)+(U48*CF48)+(W48*CI48)+(X48*CK48)))/1000</f>
        <v>#REF!</v>
      </c>
      <c r="BT48" s="161" t="e">
        <f>TRUNC(#REF!*((AC48*CG48)+(AD48*CH48)+(AE48*CI48)+(AF48*CK48))/1000)</f>
        <v>#REF!</v>
      </c>
      <c r="BU48" s="161" t="e">
        <f>+BK48*#REF!</f>
        <v>#REF!</v>
      </c>
      <c r="BV48" s="161" t="e">
        <f>SUM(BK48:BU48)*#REF!</f>
        <v>#REF!</v>
      </c>
      <c r="BW48" s="161" t="e">
        <f>TRUNC(SUM(BK48:BV48))</f>
        <v>#REF!</v>
      </c>
      <c r="BX48" s="161" t="e">
        <f>+BK48+BL48+BM48+BN48+BP48+BR48+BS48+BO48</f>
        <v>#REF!</v>
      </c>
      <c r="BY48" s="161" t="e">
        <f>+BW48-BX48-BZ48</f>
        <v>#REF!</v>
      </c>
      <c r="BZ48" s="161" t="e">
        <f>+BU48+BV48</f>
        <v>#REF!</v>
      </c>
      <c r="CA48" s="4">
        <f>AH48</f>
        <v>42</v>
      </c>
      <c r="CB48" s="164" t="e">
        <f>IF($CA48&gt;0,VLOOKUP($CA48,#REF!,2)*#REF!,0)</f>
        <v>#REF!</v>
      </c>
      <c r="CC48" s="164" t="e">
        <f>IF($CA48&gt;0,VLOOKUP($CA48,#REF!,3)*#REF!,0)</f>
        <v>#REF!</v>
      </c>
      <c r="CD48" s="164" t="e">
        <f>IF($CA48&gt;0,VLOOKUP($CA48,#REF!,4)*#REF!,0)</f>
        <v>#REF!</v>
      </c>
      <c r="CE48" s="164" t="e">
        <f>IF($CA48&gt;0,VLOOKUP($CA48,#REF!,5)*#REF!,0)</f>
        <v>#REF!</v>
      </c>
      <c r="CF48" s="164" t="e">
        <f>IF($CA48&gt;0,VLOOKUP($CA48,#REF!,6)*#REF!,0)</f>
        <v>#REF!</v>
      </c>
      <c r="CG48" s="164" t="e">
        <f>IF($CA48&gt;0,VLOOKUP($CA48,#REF!,7)*#REF!,0)</f>
        <v>#REF!</v>
      </c>
      <c r="CH48" s="44" t="e">
        <f>+(CG48+CI48)/2</f>
        <v>#REF!</v>
      </c>
      <c r="CI48" s="164" t="e">
        <f>IF($CA48&gt;0,VLOOKUP($CA48,#REF!,8)*#REF!,0)</f>
        <v>#REF!</v>
      </c>
      <c r="CJ48" s="164" t="e">
        <f>IF($CA48&gt;0,VLOOKUP($CA48,#REF!,9)*#REF!,0)</f>
        <v>#REF!</v>
      </c>
      <c r="CK48" s="164" t="e">
        <f>IF($CA48&gt;0,VLOOKUP($CA48,#REF!,10)*#REF!,0)</f>
        <v>#REF!</v>
      </c>
      <c r="CL48" s="164" t="e">
        <f>IF($CA48&gt;0,VLOOKUP($CA48,#REF!,11)*#REF!,0)</f>
        <v>#REF!</v>
      </c>
      <c r="CM48" s="164" t="e">
        <f>IF($CA48&gt;0,VLOOKUP($CA48,#REF!,12)*#REF!,0)</f>
        <v>#REF!</v>
      </c>
      <c r="CN48" s="164" t="e">
        <f>IF($CA48&gt;0,VLOOKUP($CA48,#REF!,13)*#REF!,0)</f>
        <v>#REF!</v>
      </c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</row>
    <row r="49" spans="1:183" s="64" customFormat="1">
      <c r="A49" s="182"/>
      <c r="B49" s="183"/>
      <c r="C49" s="46" t="s">
        <v>124</v>
      </c>
      <c r="D49" s="106">
        <v>1</v>
      </c>
      <c r="E49" s="106"/>
      <c r="F49" s="106"/>
      <c r="G49" s="106"/>
      <c r="H49" s="105"/>
      <c r="I49" s="106"/>
      <c r="J49" s="106"/>
      <c r="K49" s="136"/>
      <c r="L49" s="108">
        <v>7.5</v>
      </c>
      <c r="M49" s="108"/>
      <c r="N49" s="108"/>
      <c r="O49" s="108"/>
      <c r="P49" s="107"/>
      <c r="Q49" s="108"/>
      <c r="R49" s="108"/>
      <c r="S49" s="108"/>
      <c r="T49" s="140">
        <f>+SUM(H49:K49)*3/AI49</f>
        <v>0</v>
      </c>
      <c r="U49" s="111"/>
      <c r="V49" s="111"/>
      <c r="W49" s="111"/>
      <c r="X49" s="113"/>
      <c r="Y49" s="141"/>
      <c r="Z49" s="184"/>
      <c r="AA49" s="113"/>
      <c r="AB49" s="185"/>
      <c r="AC49" s="186"/>
      <c r="AD49" s="111"/>
      <c r="AE49" s="113"/>
      <c r="AF49" s="113"/>
      <c r="AG49" s="187">
        <f>+AG45</f>
        <v>0</v>
      </c>
      <c r="AH49" s="188">
        <v>21</v>
      </c>
      <c r="AI49" s="189">
        <f>+BC49</f>
        <v>1</v>
      </c>
      <c r="AJ49" s="190">
        <v>37.5</v>
      </c>
      <c r="AK49" s="63"/>
      <c r="AL49" s="63"/>
      <c r="AM49" s="147"/>
      <c r="AN49" s="46" t="e">
        <f>BW49</f>
        <v>#REF!</v>
      </c>
      <c r="AO49" s="123"/>
      <c r="AP49" s="123"/>
      <c r="AQ49" s="123"/>
      <c r="AR49" s="123"/>
      <c r="AS49" s="123"/>
      <c r="AT49" s="123"/>
      <c r="AU49" s="123"/>
      <c r="AV49" s="124">
        <f>((D49*L49)+(E49*M49)+(F49*N49)+(G49*O49))*5+((H49*P49)+(I49*Q49)+(J49*R49)+(K49*S49))*2</f>
        <v>37.5</v>
      </c>
      <c r="AW49" s="125">
        <f t="array" ref="AW49">+SUM(E49:G49*M49:O49)</f>
        <v>0</v>
      </c>
      <c r="AX49" s="125">
        <f t="array" ref="AX49">+SUM(H49:K49*P49:S49)*2</f>
        <v>0</v>
      </c>
      <c r="AY49" s="125">
        <f>((E49*AO49)+(F49*AP49)+(G49*AQ49))*5+((I49*AR49)+(J49*AS49)+(K49*AT49))*2</f>
        <v>0</v>
      </c>
      <c r="AZ49" s="125">
        <f>((J49*R49)+(K49*AU49)+(I49*Q49)+(H49*P49))*2</f>
        <v>0</v>
      </c>
      <c r="BA49" s="125" t="e">
        <f>((J49*R49)+(K49*S49)+(I49*Q49)+(H49*P49))*#REF!</f>
        <v>#REF!</v>
      </c>
      <c r="BB49" s="118">
        <v>1</v>
      </c>
      <c r="BC49" s="126">
        <f>AV49/AJ49</f>
        <v>1</v>
      </c>
      <c r="BD49" s="113">
        <f>+AV49</f>
        <v>37.5</v>
      </c>
      <c r="BE49" s="113">
        <f>+AG49*BD49</f>
        <v>0</v>
      </c>
      <c r="BF49" s="113">
        <f>+(AW49*AK49*AM49+AX49/2*AL49*AM49)/52+AB49+Y49*7*(AK49+AL49)/374</f>
        <v>0</v>
      </c>
      <c r="BG49" s="113">
        <f>SUM(BD49:BF49)</f>
        <v>37.5</v>
      </c>
      <c r="BH49" s="127">
        <f>+(BC49-AI49)/AI49*AJ49</f>
        <v>0</v>
      </c>
      <c r="BI49" s="62"/>
      <c r="BJ49" s="63" t="str">
        <f>C49</f>
        <v>assistent</v>
      </c>
      <c r="BK49" s="125" t="e">
        <f>TRUNC(CB49*AI49/1000)</f>
        <v>#REF!</v>
      </c>
      <c r="BL49" s="125" t="e">
        <f>TRUNC(#REF!*Z49/1000)</f>
        <v>#REF!</v>
      </c>
      <c r="BM49" s="125" t="e">
        <f>TRUNC(#REF!*AA49/1000)</f>
        <v>#REF!</v>
      </c>
      <c r="BN49" s="125" t="e">
        <f>TRUNC(#REF!*AZ49*#REF!)/1000</f>
        <v>#REF!</v>
      </c>
      <c r="BO49" s="125" t="e">
        <f>IF(AJ49=35.5,TRUNC(BA49*CN49*(1-BB49)/1000),TRUNC(BA49*CN49*(1-BB49)/1000))</f>
        <v>#REF!</v>
      </c>
      <c r="BP49" s="125" t="e">
        <f>TRUNC(AY49*#REF!*CL49)/1000</f>
        <v>#REF!</v>
      </c>
      <c r="BQ49" s="125" t="e">
        <f>TRUNC((SUM(BK49:BP49)+SUM(BS49:BT49))*AG49)</f>
        <v>#REF!</v>
      </c>
      <c r="BR49" s="125"/>
      <c r="BS49" s="125" t="e">
        <f>TRUNC(#REF!*((V49*CG49)+(U49*CF49)+(W49*CI49)+(X49*CK49)))/1000</f>
        <v>#REF!</v>
      </c>
      <c r="BT49" s="125" t="e">
        <f>TRUNC(#REF!*((AC49*CG49)+(AD49*CH49)+(AE49*CI49)+(AF49*CK49))/1000)</f>
        <v>#REF!</v>
      </c>
      <c r="BU49" s="125" t="e">
        <f>+BK49*#REF!</f>
        <v>#REF!</v>
      </c>
      <c r="BV49" s="125" t="e">
        <f>SUM(BK49:BU49)*#REF!</f>
        <v>#REF!</v>
      </c>
      <c r="BW49" s="125" t="e">
        <f>TRUNC(SUM(BK49:BV49))</f>
        <v>#REF!</v>
      </c>
      <c r="BX49" s="125" t="e">
        <f>+BK49+BL49+BM49+BN49+BP49+BR49+BS49+BO49</f>
        <v>#REF!</v>
      </c>
      <c r="BY49" s="125" t="e">
        <f>+BW49-BX49-BZ49</f>
        <v>#REF!</v>
      </c>
      <c r="BZ49" s="125" t="e">
        <f>+BU49+BV49</f>
        <v>#REF!</v>
      </c>
      <c r="CA49" s="62">
        <f>AH49</f>
        <v>21</v>
      </c>
      <c r="CB49" s="113" t="e">
        <f>IF($CA49&gt;0,VLOOKUP($CA49,#REF!,2)*#REF!,0)</f>
        <v>#REF!</v>
      </c>
      <c r="CC49" s="113" t="e">
        <f>IF($CA49&gt;0,VLOOKUP($CA49,#REF!,3)*#REF!,0)</f>
        <v>#REF!</v>
      </c>
      <c r="CD49" s="113" t="e">
        <f>IF($CA49&gt;0,VLOOKUP($CA49,#REF!,4)*#REF!,0)</f>
        <v>#REF!</v>
      </c>
      <c r="CE49" s="113" t="e">
        <f>IF($CA49&gt;0,VLOOKUP($CA49,#REF!,5)*#REF!,0)</f>
        <v>#REF!</v>
      </c>
      <c r="CF49" s="113" t="e">
        <f>IF($CA49&gt;0,VLOOKUP($CA49,#REF!,6)*#REF!,0)</f>
        <v>#REF!</v>
      </c>
      <c r="CG49" s="113" t="e">
        <f>IF($CA49&gt;0,VLOOKUP($CA49,#REF!,7)*#REF!,0)</f>
        <v>#REF!</v>
      </c>
      <c r="CH49" s="170" t="e">
        <f>+(CG49+CI49)/2</f>
        <v>#REF!</v>
      </c>
      <c r="CI49" s="113" t="e">
        <f>IF($CA49&gt;0,VLOOKUP($CA49,#REF!,8)*#REF!,0)</f>
        <v>#REF!</v>
      </c>
      <c r="CJ49" s="113" t="e">
        <f>IF($CA49&gt;0,VLOOKUP($CA49,#REF!,9)*#REF!,0)</f>
        <v>#REF!</v>
      </c>
      <c r="CK49" s="113" t="e">
        <f>IF($CA49&gt;0,VLOOKUP($CA49,#REF!,10)*#REF!,0)</f>
        <v>#REF!</v>
      </c>
      <c r="CL49" s="113" t="e">
        <f>IF($CA49&gt;0,VLOOKUP($CA49,#REF!,11)*#REF!,0)</f>
        <v>#REF!</v>
      </c>
      <c r="CM49" s="113" t="e">
        <f>IF($CA49&gt;0,VLOOKUP($CA49,#REF!,12)*#REF!,0)</f>
        <v>#REF!</v>
      </c>
      <c r="CN49" s="113" t="e">
        <f>IF($CA49&gt;0,VLOOKUP($CA49,#REF!,13)*#REF!,0)</f>
        <v>#REF!</v>
      </c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3"/>
      <c r="DN49" s="63"/>
      <c r="DO49" s="63"/>
      <c r="DP49" s="63"/>
      <c r="DQ49" s="63"/>
      <c r="DR49" s="63"/>
      <c r="DS49" s="63"/>
      <c r="DT49" s="63"/>
      <c r="DU49" s="63"/>
      <c r="DV49" s="63"/>
      <c r="DW49" s="63"/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3"/>
      <c r="ES49" s="63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</row>
    <row r="50" spans="1:183">
      <c r="B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P50" s="3"/>
      <c r="AQ50" s="3"/>
      <c r="AR50" s="3"/>
      <c r="AS50" s="3"/>
      <c r="AT50" s="3"/>
      <c r="AU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</row>
    <row r="51" spans="1:183">
      <c r="C51" s="213" t="s">
        <v>125</v>
      </c>
      <c r="D51" s="214">
        <v>2.5</v>
      </c>
    </row>
    <row r="52" spans="1:183">
      <c r="C52" s="215">
        <v>0.5</v>
      </c>
      <c r="D52" s="216">
        <v>5</v>
      </c>
    </row>
    <row r="53" spans="1:183">
      <c r="C53" s="215">
        <v>1</v>
      </c>
      <c r="D53" s="216">
        <v>10</v>
      </c>
    </row>
    <row r="54" spans="1:183">
      <c r="C54" s="217">
        <v>2</v>
      </c>
      <c r="D54" s="148"/>
      <c r="E54" s="218"/>
      <c r="F54" s="218"/>
      <c r="G54" s="218"/>
      <c r="H54" s="219"/>
      <c r="I54" s="218"/>
      <c r="J54" s="218"/>
      <c r="K54" s="218"/>
    </row>
    <row r="55" spans="1:183">
      <c r="D55" s="220"/>
      <c r="E55" s="218"/>
      <c r="F55" s="218"/>
      <c r="G55" s="218"/>
      <c r="H55" s="220"/>
      <c r="I55" s="218"/>
      <c r="J55" s="218"/>
      <c r="K55" s="218"/>
    </row>
    <row r="63" spans="1:183">
      <c r="D63" s="3">
        <v>7.5</v>
      </c>
    </row>
  </sheetData>
  <mergeCells count="2">
    <mergeCell ref="T5:T8"/>
    <mergeCell ref="A17:A22"/>
  </mergeCells>
  <printOptions gridLines="1" gridLinesSet="0"/>
  <pageMargins left="0" right="0" top="0.43307086614173229" bottom="0.43307086614173229" header="0" footer="0"/>
  <pageSetup paperSize="9" scale="72" orientation="landscape" horizontalDpi="4294967292" r:id="rId1"/>
  <headerFooter alignWithMargins="0">
    <oddHeader>&amp;L&amp;D&amp;CVedlegg 2.4</oddHeader>
    <oddFooter>&amp;CForberedt av Finn Arthur Forstrøm &amp;D&amp;RSide 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S49"/>
  <sheetViews>
    <sheetView topLeftCell="B12" zoomScale="204" zoomScaleNormal="204" workbookViewId="0">
      <selection activeCell="C20" sqref="C20"/>
    </sheetView>
  </sheetViews>
  <sheetFormatPr baseColWidth="10" defaultRowHeight="12.75"/>
  <cols>
    <col min="1" max="1" width="11.42578125" style="221"/>
    <col min="2" max="2" width="24.140625" style="221" customWidth="1"/>
    <col min="3" max="3" width="14" style="221" customWidth="1"/>
    <col min="4" max="16384" width="11.42578125" style="221"/>
  </cols>
  <sheetData>
    <row r="7" spans="2:15">
      <c r="C7" s="772" t="s">
        <v>177</v>
      </c>
      <c r="D7" s="773"/>
      <c r="E7" s="773"/>
      <c r="F7" s="773"/>
      <c r="G7" s="773"/>
      <c r="H7" s="774"/>
    </row>
    <row r="8" spans="2:15" s="543" customFormat="1" ht="76.5">
      <c r="B8" s="539"/>
      <c r="C8" s="540" t="s">
        <v>290</v>
      </c>
      <c r="D8" s="540" t="s">
        <v>156</v>
      </c>
      <c r="E8" s="541" t="s">
        <v>183</v>
      </c>
      <c r="F8" s="540" t="str">
        <f>CONCATENATE(alt!$U$21,alt!U22)</f>
        <v>Innleie av vikarer Ferie-avvikling</v>
      </c>
      <c r="G8" s="540" t="str">
        <f>CONCATENATE(alt!$U$21,alt!V22)</f>
        <v>Innleie av vikarer Annen bruk av vikarer</v>
      </c>
      <c r="H8" s="540" t="str">
        <f>alt!Z33</f>
        <v>Overtid</v>
      </c>
      <c r="I8" s="542" t="s">
        <v>46</v>
      </c>
    </row>
    <row r="9" spans="2:15">
      <c r="B9" s="529" t="str">
        <f>'I fjor'!A1</f>
        <v>Hvordan gjorde vi det i fjor</v>
      </c>
      <c r="C9" s="544">
        <f>'I fjor'!W34-E9-D9</f>
        <v>14.999999999999998</v>
      </c>
      <c r="D9" s="544">
        <f>'I fjor'!AA41</f>
        <v>0.72</v>
      </c>
      <c r="E9" s="545">
        <f>'I fjor'!Y25</f>
        <v>0</v>
      </c>
      <c r="F9" s="544">
        <f>'I fjor'!X34</f>
        <v>1.7291999999999998</v>
      </c>
      <c r="G9" s="544">
        <f>'I fjor'!Y34</f>
        <v>0.78599999999999992</v>
      </c>
      <c r="H9" s="544">
        <f>'I fjor'!Z34</f>
        <v>0.88732394366197187</v>
      </c>
      <c r="I9" s="546">
        <f>SUM(C9:H9)</f>
        <v>19.122523943661971</v>
      </c>
      <c r="K9" s="543"/>
      <c r="L9" s="543"/>
      <c r="M9" s="543"/>
      <c r="N9" s="543"/>
      <c r="O9" s="543"/>
    </row>
    <row r="10" spans="2:15">
      <c r="B10" s="529" t="str">
        <f>'plan i år'!A1</f>
        <v>Hvordan planlegger vi i år</v>
      </c>
      <c r="C10" s="544">
        <f>'plan i år'!W34-E10-D10</f>
        <v>14.999999999999998</v>
      </c>
      <c r="D10" s="544">
        <f>'plan i år'!AA41</f>
        <v>0.72</v>
      </c>
      <c r="E10" s="545">
        <f>'plan i år'!Y25</f>
        <v>0</v>
      </c>
      <c r="F10" s="544">
        <f>'plan i år'!X34</f>
        <v>1.7291999999999998</v>
      </c>
      <c r="G10" s="544">
        <f>'plan i år'!Y34</f>
        <v>0.78599999999999992</v>
      </c>
      <c r="H10" s="544">
        <f>'plan i år'!Z34</f>
        <v>0.88732394366197187</v>
      </c>
      <c r="I10" s="547">
        <f>SUM(C10:H10)</f>
        <v>19.122523943661971</v>
      </c>
      <c r="J10" s="548"/>
      <c r="K10" s="543"/>
      <c r="L10" s="543"/>
      <c r="M10" s="543"/>
      <c r="N10" s="543"/>
      <c r="O10" s="543"/>
    </row>
    <row r="11" spans="2:15">
      <c r="B11" s="279" t="str">
        <f>alt!A1</f>
        <v>Alternativ løsning i år</v>
      </c>
      <c r="C11" s="549">
        <f>alt!W34-E11-D11</f>
        <v>14.999999999999998</v>
      </c>
      <c r="D11" s="549">
        <f>alt!AA41</f>
        <v>0.72</v>
      </c>
      <c r="E11" s="550">
        <f>alt!Y25</f>
        <v>0</v>
      </c>
      <c r="F11" s="549">
        <f>alt!X34</f>
        <v>1.7291999999999998</v>
      </c>
      <c r="G11" s="549">
        <f>alt!Y34</f>
        <v>0.78599999999999992</v>
      </c>
      <c r="H11" s="549">
        <f>alt!Z34</f>
        <v>0.88732394366197187</v>
      </c>
      <c r="I11" s="551">
        <f>SUM(C11:H11)</f>
        <v>19.122523943661971</v>
      </c>
      <c r="K11" s="543"/>
      <c r="L11" s="543"/>
      <c r="M11" s="543"/>
      <c r="N11" s="543"/>
      <c r="O11" s="543"/>
    </row>
    <row r="12" spans="2:15">
      <c r="J12" s="543"/>
      <c r="K12" s="543"/>
      <c r="L12" s="543"/>
      <c r="M12" s="543"/>
      <c r="N12" s="543"/>
    </row>
    <row r="13" spans="2:15">
      <c r="C13" s="772" t="s">
        <v>178</v>
      </c>
      <c r="D13" s="774"/>
      <c r="J13" s="543"/>
      <c r="K13" s="543"/>
      <c r="L13" s="543"/>
      <c r="M13" s="543"/>
      <c r="N13" s="543"/>
    </row>
    <row r="14" spans="2:15" ht="25.5">
      <c r="B14" s="539"/>
      <c r="C14" s="540" t="str">
        <f>alt!N29</f>
        <v>Langtidsfravær</v>
      </c>
      <c r="D14" s="552" t="str">
        <f>alt!N30</f>
        <v>Korttidsfravær</v>
      </c>
      <c r="J14" s="543"/>
      <c r="K14" s="543"/>
      <c r="L14" s="543"/>
      <c r="M14" s="543"/>
      <c r="N14" s="543"/>
    </row>
    <row r="15" spans="2:15">
      <c r="B15" s="529" t="str">
        <f>B9</f>
        <v>Hvordan gjorde vi det i fjor</v>
      </c>
      <c r="C15" s="553">
        <f>'I fjor'!$P$29</f>
        <v>0.16500000000000001</v>
      </c>
      <c r="D15" s="554">
        <f>'I fjor'!$P$30</f>
        <v>4.7E-2</v>
      </c>
    </row>
    <row r="16" spans="2:15">
      <c r="B16" s="529" t="str">
        <f t="shared" ref="B16:B17" si="0">B10</f>
        <v>Hvordan planlegger vi i år</v>
      </c>
      <c r="C16" s="553">
        <f>'plan i år'!$P$29</f>
        <v>0.16500000000000001</v>
      </c>
      <c r="D16" s="554">
        <f>'plan i år'!$P$30</f>
        <v>4.7E-2</v>
      </c>
    </row>
    <row r="17" spans="2:8">
      <c r="B17" s="279" t="str">
        <f t="shared" si="0"/>
        <v>Alternativ løsning i år</v>
      </c>
      <c r="C17" s="474">
        <f>alt!$P$29</f>
        <v>0.16500000000000001</v>
      </c>
      <c r="D17" s="555">
        <f>alt!$P$30</f>
        <v>4.7E-2</v>
      </c>
    </row>
    <row r="18" spans="2:8">
      <c r="C18" s="221" t="s">
        <v>179</v>
      </c>
    </row>
    <row r="19" spans="2:8">
      <c r="C19" s="221" t="s">
        <v>180</v>
      </c>
    </row>
    <row r="20" spans="2:8" ht="51">
      <c r="B20" s="539"/>
      <c r="C20" s="540" t="str">
        <f>CONCATENATE($C$18,'I fjor'!H34)</f>
        <v>Fast ansatte Under 30 %</v>
      </c>
      <c r="D20" s="540" t="str">
        <f>CONCATENATE($C$18,'I fjor'!I34)</f>
        <v>Fast ansatte 30 til 50%</v>
      </c>
      <c r="E20" s="540" t="str">
        <f>CONCATENATE($C$18,'I fjor'!J34)</f>
        <v>Fast ansatte 50 til 80 %</v>
      </c>
      <c r="F20" s="540" t="str">
        <f>CONCATENATE($C$18,'I fjor'!K34)</f>
        <v>Fast ansatte Over 80 %</v>
      </c>
      <c r="G20" s="540" t="str">
        <f>'I fjor'!A43</f>
        <v>Antall vikarer etc utover fast ansatte</v>
      </c>
      <c r="H20" s="542" t="s">
        <v>46</v>
      </c>
    </row>
    <row r="21" spans="2:8">
      <c r="B21" s="529" t="str">
        <f>B9</f>
        <v>Hvordan gjorde vi det i fjor</v>
      </c>
      <c r="C21" s="544">
        <f>SUM('I fjor'!H35:H38)</f>
        <v>4</v>
      </c>
      <c r="D21" s="544">
        <f>SUM('I fjor'!I35:I38)</f>
        <v>2</v>
      </c>
      <c r="E21" s="544">
        <f>SUM('I fjor'!J35:J38)</f>
        <v>0</v>
      </c>
      <c r="F21" s="544">
        <f>SUM('I fjor'!K35:K38)</f>
        <v>14</v>
      </c>
      <c r="G21" s="544">
        <f>'I fjor'!F43</f>
        <v>9</v>
      </c>
      <c r="H21" s="546">
        <f>SUM(C21:G21)</f>
        <v>29</v>
      </c>
    </row>
    <row r="22" spans="2:8">
      <c r="B22" s="529" t="str">
        <f t="shared" ref="B22:B23" si="1">B10</f>
        <v>Hvordan planlegger vi i år</v>
      </c>
      <c r="C22" s="544">
        <f>SUM('plan i år'!H35:H38)</f>
        <v>4</v>
      </c>
      <c r="D22" s="544">
        <f>SUM('plan i år'!I35:I38)</f>
        <v>2</v>
      </c>
      <c r="E22" s="544">
        <f>SUM('plan i år'!J35:J38)</f>
        <v>0</v>
      </c>
      <c r="F22" s="544">
        <f>SUM('plan i år'!K35:K38)</f>
        <v>14</v>
      </c>
      <c r="G22" s="544">
        <f>'plan i år'!F43</f>
        <v>9</v>
      </c>
      <c r="H22" s="547">
        <f>SUM(C22:G22)</f>
        <v>29</v>
      </c>
    </row>
    <row r="23" spans="2:8">
      <c r="B23" s="279" t="str">
        <f t="shared" si="1"/>
        <v>Alternativ løsning i år</v>
      </c>
      <c r="C23" s="549">
        <f>SUM(alt!H35:H38)</f>
        <v>4</v>
      </c>
      <c r="D23" s="549">
        <f>SUM(alt!I35:I38)</f>
        <v>2</v>
      </c>
      <c r="E23" s="549">
        <f>SUM(alt!J35:J38)</f>
        <v>0</v>
      </c>
      <c r="F23" s="549">
        <f>SUM(alt!K35:K38)</f>
        <v>14</v>
      </c>
      <c r="G23" s="549">
        <f>alt!F43</f>
        <v>9</v>
      </c>
      <c r="H23" s="551">
        <f>SUM(C23:G23)</f>
        <v>29</v>
      </c>
    </row>
    <row r="25" spans="2:8">
      <c r="C25" s="772" t="str">
        <f>'I fjor'!O33</f>
        <v>Antall ansatte som fyller faglige kvalifikasjonskrav til stillingen/funksjonen de utfører (AUTORISERTE )</v>
      </c>
      <c r="D25" s="773"/>
      <c r="E25" s="773"/>
      <c r="F25" s="773"/>
      <c r="G25" s="773"/>
      <c r="H25" s="774"/>
    </row>
    <row r="26" spans="2:8" ht="25.5">
      <c r="B26" s="539"/>
      <c r="C26" s="540" t="str">
        <f>C20</f>
        <v>Fast ansatte Under 30 %</v>
      </c>
      <c r="D26" s="541" t="str">
        <f t="shared" ref="D26:F26" si="2">D20</f>
        <v>Fast ansatte 30 til 50%</v>
      </c>
      <c r="E26" s="540" t="str">
        <f t="shared" si="2"/>
        <v>Fast ansatte 50 til 80 %</v>
      </c>
      <c r="F26" s="540" t="str">
        <f t="shared" si="2"/>
        <v>Fast ansatte Over 80 %</v>
      </c>
      <c r="G26" s="540" t="str">
        <f>'I fjor'!O41</f>
        <v>Vikarer etc</v>
      </c>
      <c r="H26" s="542" t="s">
        <v>181</v>
      </c>
    </row>
    <row r="27" spans="2:8">
      <c r="B27" s="529" t="str">
        <f>B21</f>
        <v>Hvordan gjorde vi det i fjor</v>
      </c>
      <c r="C27" s="556">
        <f>'I fjor'!Q40</f>
        <v>0.5</v>
      </c>
      <c r="D27" s="557">
        <f>'I fjor'!R40</f>
        <v>1</v>
      </c>
      <c r="E27" s="556">
        <f>'I fjor'!S40</f>
        <v>0</v>
      </c>
      <c r="F27" s="556">
        <f>'I fjor'!T40</f>
        <v>1</v>
      </c>
      <c r="G27" s="556">
        <f>'I fjor'!U41</f>
        <v>0.33333333333333331</v>
      </c>
      <c r="H27" s="558">
        <f>'I fjor'!U42</f>
        <v>0.72413793103448276</v>
      </c>
    </row>
    <row r="28" spans="2:8">
      <c r="B28" s="529" t="str">
        <f t="shared" ref="B28:B29" si="3">B22</f>
        <v>Hvordan planlegger vi i år</v>
      </c>
      <c r="C28" s="556">
        <f>'plan i år'!Q40</f>
        <v>0.5</v>
      </c>
      <c r="D28" s="557">
        <f>'plan i år'!R40</f>
        <v>1</v>
      </c>
      <c r="E28" s="556">
        <f>'plan i år'!S40</f>
        <v>0</v>
      </c>
      <c r="F28" s="556">
        <f>'plan i år'!T40</f>
        <v>1</v>
      </c>
      <c r="G28" s="556">
        <f>'plan i år'!U41</f>
        <v>0.33333333333333331</v>
      </c>
      <c r="H28" s="559">
        <f>'plan i år'!U42</f>
        <v>0.72413793103448276</v>
      </c>
    </row>
    <row r="29" spans="2:8">
      <c r="B29" s="279" t="str">
        <f t="shared" si="3"/>
        <v>Alternativ løsning i år</v>
      </c>
      <c r="C29" s="560">
        <f>alt!Q40</f>
        <v>0.5</v>
      </c>
      <c r="D29" s="561">
        <f>alt!R40</f>
        <v>1</v>
      </c>
      <c r="E29" s="560">
        <f>alt!S40</f>
        <v>0</v>
      </c>
      <c r="F29" s="560">
        <f>alt!T40</f>
        <v>1</v>
      </c>
      <c r="G29" s="560">
        <f>alt!U41</f>
        <v>0.33333333333333331</v>
      </c>
      <c r="H29" s="562">
        <f>alt!U42</f>
        <v>0.72413793103448276</v>
      </c>
    </row>
    <row r="30" spans="2:8">
      <c r="F30" s="221" t="s">
        <v>282</v>
      </c>
    </row>
    <row r="31" spans="2:8" ht="38.25">
      <c r="B31" s="539"/>
      <c r="C31" s="542" t="str">
        <f>alt!W36</f>
        <v>Gjennomsnittlig stilllingsstørrelse</v>
      </c>
      <c r="E31" s="539"/>
      <c r="F31" s="540" t="str">
        <f>'I fjor'!N29</f>
        <v>Langtidsfravær</v>
      </c>
      <c r="G31" s="566" t="str">
        <f>'I fjor'!N30</f>
        <v>Korttidsfravær</v>
      </c>
    </row>
    <row r="32" spans="2:8">
      <c r="B32" s="529" t="str">
        <f>B27</f>
        <v>Hvordan gjorde vi det i fjor</v>
      </c>
      <c r="C32" s="559">
        <f>'I fjor'!$W$38</f>
        <v>0.74999999999999989</v>
      </c>
      <c r="E32" s="529" t="str">
        <f>B32</f>
        <v>Hvordan gjorde vi det i fjor</v>
      </c>
      <c r="F32" s="553">
        <f>'I fjor'!P29</f>
        <v>0.16500000000000001</v>
      </c>
      <c r="G32" s="554">
        <f>'I fjor'!P30</f>
        <v>4.7E-2</v>
      </c>
    </row>
    <row r="33" spans="2:19">
      <c r="B33" s="529" t="str">
        <f t="shared" ref="B33:B34" si="4">B28</f>
        <v>Hvordan planlegger vi i år</v>
      </c>
      <c r="C33" s="559">
        <f>'plan i år'!$W$38</f>
        <v>0.74999999999999989</v>
      </c>
      <c r="E33" s="529" t="str">
        <f t="shared" ref="E33:E34" si="5">B33</f>
        <v>Hvordan planlegger vi i år</v>
      </c>
      <c r="F33" s="553">
        <f>'plan i år'!P29</f>
        <v>0.16500000000000001</v>
      </c>
      <c r="G33" s="554">
        <f>'plan i år'!P30</f>
        <v>4.7E-2</v>
      </c>
    </row>
    <row r="34" spans="2:19">
      <c r="B34" s="279" t="str">
        <f t="shared" si="4"/>
        <v>Alternativ løsning i år</v>
      </c>
      <c r="C34" s="562">
        <f>alt!$W$38</f>
        <v>0.74999999999999989</v>
      </c>
      <c r="E34" s="279" t="str">
        <f t="shared" si="5"/>
        <v>Alternativ løsning i år</v>
      </c>
      <c r="F34" s="474">
        <f>alt!P29</f>
        <v>0.16500000000000001</v>
      </c>
      <c r="G34" s="555">
        <f>alt!P30</f>
        <v>4.7E-2</v>
      </c>
    </row>
    <row r="36" spans="2:19">
      <c r="C36" s="772" t="str">
        <f>'I fjor'!A28</f>
        <v>Lønnsutgifter fratrukket refusjon folketrygden (medregnet dagstillinger)+ utgifter til vikarbyrå</v>
      </c>
      <c r="D36" s="773"/>
      <c r="E36" s="773"/>
      <c r="F36" s="773"/>
      <c r="G36" s="773"/>
      <c r="H36" s="773"/>
      <c r="I36" s="773"/>
      <c r="J36" s="773"/>
      <c r="K36" s="773"/>
      <c r="L36" s="774"/>
    </row>
    <row r="37" spans="2:19" ht="89.25">
      <c r="B37" s="539"/>
      <c r="C37" s="540" t="str">
        <f>'I fjor'!C28</f>
        <v>Grunn-lønn faste stillinger</v>
      </c>
      <c r="D37" s="540" t="str">
        <f>'I fjor'!D28</f>
        <v>Lør- og søn-dags-tillegg</v>
      </c>
      <c r="E37" s="540" t="str">
        <f>'I fjor'!E28</f>
        <v>Hellig-dags-tillegg</v>
      </c>
      <c r="F37" s="540" t="str">
        <f>'I fjor'!F28</f>
        <v>Natt-tillegg</v>
      </c>
      <c r="G37" s="540" t="str">
        <f>'I fjor'!G28</f>
        <v>Innleie av vikarer (utover ref folketrygd og eks ferieavvikling )</v>
      </c>
      <c r="H37" s="540" t="str">
        <f>'I fjor'!H28</f>
        <v>Innleie av vikarer til ferie-avvik-ling</v>
      </c>
      <c r="I37" s="540" t="str">
        <f>'I fjor'!I28</f>
        <v>Overtid</v>
      </c>
      <c r="J37" s="540" t="str">
        <f>'I fjor'!J28</f>
        <v>Pen-sjons-premie</v>
      </c>
      <c r="K37" s="540" t="str">
        <f>'I fjor'!K28</f>
        <v>Arbeids-giver-avgift</v>
      </c>
      <c r="L37" s="542" t="str">
        <f>'I fjor'!L28</f>
        <v>Totalt</v>
      </c>
      <c r="M37" s="540" t="str">
        <f>C37</f>
        <v>Grunn-lønn faste stillinger</v>
      </c>
      <c r="N37" s="540" t="str">
        <f>G37</f>
        <v>Innleie av vikarer (utover ref folketrygd og eks ferieavvikling )</v>
      </c>
      <c r="O37" s="540" t="str">
        <f>H37</f>
        <v>Innleie av vikarer til ferie-avvik-ling</v>
      </c>
      <c r="P37" s="540" t="str">
        <f>I37</f>
        <v>Overtid</v>
      </c>
      <c r="Q37" s="540" t="s">
        <v>283</v>
      </c>
      <c r="R37" s="540" t="s">
        <v>284</v>
      </c>
      <c r="S37" s="542" t="str">
        <f>L37</f>
        <v>Totalt</v>
      </c>
    </row>
    <row r="38" spans="2:19">
      <c r="B38" s="523" t="str">
        <f>B27</f>
        <v>Hvordan gjorde vi det i fjor</v>
      </c>
      <c r="C38" s="289">
        <f>'I fjor'!C29</f>
        <v>7279</v>
      </c>
      <c r="D38" s="289">
        <f>'I fjor'!D29</f>
        <v>366.6</v>
      </c>
      <c r="E38" s="289">
        <f>'I fjor'!E29</f>
        <v>317</v>
      </c>
      <c r="F38" s="289">
        <f>'I fjor'!F29</f>
        <v>591.13599999999997</v>
      </c>
      <c r="G38" s="289">
        <f>'I fjor'!G29</f>
        <v>437</v>
      </c>
      <c r="H38" s="289">
        <f>'I fjor'!H29</f>
        <v>961</v>
      </c>
      <c r="I38" s="289">
        <f>'I fjor'!I29</f>
        <v>701</v>
      </c>
      <c r="J38" s="289">
        <f>'I fjor'!J29</f>
        <v>1812.0819200000001</v>
      </c>
      <c r="K38" s="289">
        <f>'I fjor'!K29</f>
        <v>1321.2706995199999</v>
      </c>
      <c r="L38" s="263">
        <f>'I fjor'!L29</f>
        <v>13785</v>
      </c>
      <c r="M38" s="289">
        <f>C38</f>
        <v>7279</v>
      </c>
      <c r="N38" s="289">
        <f>G38</f>
        <v>437</v>
      </c>
      <c r="O38" s="289">
        <f t="shared" ref="O38:P38" si="6">H38</f>
        <v>961</v>
      </c>
      <c r="P38" s="289">
        <f t="shared" si="6"/>
        <v>701</v>
      </c>
      <c r="Q38" s="289">
        <f>SUM(D38:F38)</f>
        <v>1274.7359999999999</v>
      </c>
      <c r="R38" s="289">
        <f>SUM(J38:K38)</f>
        <v>3133.3526195200002</v>
      </c>
      <c r="S38" s="263">
        <f>L38</f>
        <v>13785</v>
      </c>
    </row>
    <row r="39" spans="2:19">
      <c r="B39" s="523" t="str">
        <f t="shared" ref="B39:B40" si="7">B28</f>
        <v>Hvordan planlegger vi i år</v>
      </c>
      <c r="C39" s="289">
        <f>'plan i år'!C29</f>
        <v>7279</v>
      </c>
      <c r="D39" s="289">
        <f>'plan i år'!D29</f>
        <v>366.6</v>
      </c>
      <c r="E39" s="289">
        <f>'plan i år'!E29</f>
        <v>317</v>
      </c>
      <c r="F39" s="289">
        <f>'plan i år'!F29</f>
        <v>591.13599999999997</v>
      </c>
      <c r="G39" s="289">
        <f>'plan i år'!G29</f>
        <v>437</v>
      </c>
      <c r="H39" s="289">
        <f>'plan i år'!H29</f>
        <v>961</v>
      </c>
      <c r="I39" s="289">
        <f>'plan i år'!I29</f>
        <v>701</v>
      </c>
      <c r="J39" s="289">
        <f>'plan i år'!J29</f>
        <v>1812.0819200000001</v>
      </c>
      <c r="K39" s="289">
        <f>'plan i år'!K29</f>
        <v>1321.2706995199999</v>
      </c>
      <c r="L39" s="523">
        <f>'plan i år'!L29</f>
        <v>13785</v>
      </c>
      <c r="M39" s="289">
        <f t="shared" ref="M39:M40" si="8">C39</f>
        <v>7279</v>
      </c>
      <c r="N39" s="289">
        <f t="shared" ref="N39:N40" si="9">G39</f>
        <v>437</v>
      </c>
      <c r="O39" s="289">
        <f t="shared" ref="O39:O40" si="10">H39</f>
        <v>961</v>
      </c>
      <c r="P39" s="289">
        <f t="shared" ref="P39:P40" si="11">I39</f>
        <v>701</v>
      </c>
      <c r="Q39" s="289">
        <f t="shared" ref="Q39:Q40" si="12">SUM(D39:F39)</f>
        <v>1274.7359999999999</v>
      </c>
      <c r="R39" s="289">
        <f t="shared" ref="R39:R40" si="13">SUM(J39:K39)</f>
        <v>3133.3526195200002</v>
      </c>
      <c r="S39" s="523">
        <f t="shared" ref="S39:S40" si="14">L39</f>
        <v>13785</v>
      </c>
    </row>
    <row r="40" spans="2:19">
      <c r="B40" s="277" t="str">
        <f t="shared" si="7"/>
        <v>Alternativ løsning i år</v>
      </c>
      <c r="C40" s="563">
        <f>alt!C29</f>
        <v>7279</v>
      </c>
      <c r="D40" s="563">
        <f>alt!D29</f>
        <v>366.6</v>
      </c>
      <c r="E40" s="563">
        <f>alt!E29</f>
        <v>317</v>
      </c>
      <c r="F40" s="563">
        <f>alt!F29</f>
        <v>591.13599999999997</v>
      </c>
      <c r="G40" s="563">
        <f>alt!G29</f>
        <v>437</v>
      </c>
      <c r="H40" s="563">
        <f>alt!H29</f>
        <v>961</v>
      </c>
      <c r="I40" s="563">
        <f>alt!I29</f>
        <v>701</v>
      </c>
      <c r="J40" s="563">
        <f>alt!J29</f>
        <v>1812.0819200000001</v>
      </c>
      <c r="K40" s="563">
        <f>alt!K29</f>
        <v>1321.2706995199999</v>
      </c>
      <c r="L40" s="277">
        <f>alt!L29</f>
        <v>13785</v>
      </c>
      <c r="M40" s="563">
        <f t="shared" si="8"/>
        <v>7279</v>
      </c>
      <c r="N40" s="563">
        <f t="shared" si="9"/>
        <v>437</v>
      </c>
      <c r="O40" s="563">
        <f t="shared" si="10"/>
        <v>961</v>
      </c>
      <c r="P40" s="563">
        <f t="shared" si="11"/>
        <v>701</v>
      </c>
      <c r="Q40" s="563">
        <f t="shared" si="12"/>
        <v>1274.7359999999999</v>
      </c>
      <c r="R40" s="563">
        <f t="shared" si="13"/>
        <v>3133.3526195200002</v>
      </c>
      <c r="S40" s="277">
        <f t="shared" si="14"/>
        <v>13785</v>
      </c>
    </row>
    <row r="41" spans="2:19">
      <c r="C41" s="564"/>
    </row>
    <row r="42" spans="2:19" ht="39" customHeight="1">
      <c r="B42" s="565"/>
      <c r="C42" s="793" t="str">
        <f>CONCATENATE('I fjor'!A45," ",'I fjor'!U47)</f>
        <v>Hvor mye brukes til å ringe etter vikarer, personalarbeid etc. Lønnsutgifter inkl arb avgift og pensjon</v>
      </c>
      <c r="D42" s="793"/>
      <c r="E42" s="793"/>
      <c r="F42" s="793"/>
      <c r="G42" s="794"/>
    </row>
    <row r="43" spans="2:19" ht="89.25">
      <c r="B43" s="538"/>
      <c r="C43" s="540" t="str">
        <f>'I fjor'!$A$49</f>
        <v>Fylle bemanningsplan (ringe, sende SMS etc)</v>
      </c>
      <c r="D43" s="540" t="str">
        <f>'I fjor'!$A$50</f>
        <v>Tidsbruk ansatte har avsatt i turnusplanen til turnusoppsett etc</v>
      </c>
      <c r="E43" s="540" t="str">
        <f>'I fjor'!$A$51</f>
        <v>Personal- og ledelsesarbeid ansatte</v>
      </c>
      <c r="F43" s="540" t="str">
        <f>'I fjor'!$A$52</f>
        <v>Personal- og ledelsesarbeid nytilsettinger</v>
      </c>
      <c r="G43" s="566" t="str">
        <f>'I fjor'!$A$53</f>
        <v>Totalt</v>
      </c>
    </row>
    <row r="44" spans="2:19">
      <c r="B44" s="523" t="str">
        <f>B38</f>
        <v>Hvordan gjorde vi det i fjor</v>
      </c>
      <c r="C44" s="289">
        <f>'I fjor'!U49</f>
        <v>307.99695652173921</v>
      </c>
      <c r="D44" s="289">
        <f>'I fjor'!U50</f>
        <v>0</v>
      </c>
      <c r="E44" s="289">
        <f>'I fjor'!U51</f>
        <v>331.65894492753631</v>
      </c>
      <c r="F44" s="289">
        <f>'I fjor'!U52</f>
        <v>78.221449275362332</v>
      </c>
      <c r="G44" s="567">
        <f>SUM(C44:F44)</f>
        <v>717.87735072463784</v>
      </c>
    </row>
    <row r="45" spans="2:19">
      <c r="B45" s="523" t="str">
        <f t="shared" ref="B45:B46" si="15">B39</f>
        <v>Hvordan planlegger vi i år</v>
      </c>
      <c r="C45" s="289">
        <f>'plan i år'!U49</f>
        <v>307.99695652173921</v>
      </c>
      <c r="D45" s="289">
        <f>'plan i år'!U50</f>
        <v>0</v>
      </c>
      <c r="E45" s="289">
        <f>'plan i år'!U51</f>
        <v>331.65894492753631</v>
      </c>
      <c r="F45" s="289">
        <f>'plan i år'!U52</f>
        <v>78.221449275362332</v>
      </c>
      <c r="G45" s="567">
        <f t="shared" ref="G45:G46" si="16">SUM(C45:F45)</f>
        <v>717.87735072463784</v>
      </c>
    </row>
    <row r="46" spans="2:19">
      <c r="B46" s="277" t="str">
        <f t="shared" si="15"/>
        <v>Alternativ løsning i år</v>
      </c>
      <c r="C46" s="563">
        <f>alt!U49</f>
        <v>307.99695652173921</v>
      </c>
      <c r="D46" s="563">
        <f>alt!U50</f>
        <v>0</v>
      </c>
      <c r="E46" s="563">
        <f>alt!U51</f>
        <v>331.65894492753631</v>
      </c>
      <c r="F46" s="563">
        <f>alt!U52</f>
        <v>78.221449275362332</v>
      </c>
      <c r="G46" s="568">
        <f t="shared" si="16"/>
        <v>717.87735072463784</v>
      </c>
    </row>
    <row r="48" spans="2:19">
      <c r="F48" s="564"/>
    </row>
    <row r="49" spans="6:6">
      <c r="F49" s="564"/>
    </row>
  </sheetData>
  <sheetProtection sheet="1" objects="1" scenarios="1"/>
  <mergeCells count="5">
    <mergeCell ref="C42:G42"/>
    <mergeCell ref="C7:H7"/>
    <mergeCell ref="C13:D13"/>
    <mergeCell ref="C25:H25"/>
    <mergeCell ref="C36:L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Regneark</vt:lpstr>
      </vt:variant>
      <vt:variant>
        <vt:i4>5</vt:i4>
      </vt:variant>
      <vt:variant>
        <vt:lpstr>Diagrammer</vt:lpstr>
      </vt:variant>
      <vt:variant>
        <vt:i4>10</vt:i4>
      </vt:variant>
      <vt:variant>
        <vt:lpstr>Navngitte områder</vt:lpstr>
      </vt:variant>
      <vt:variant>
        <vt:i4>3</vt:i4>
      </vt:variant>
    </vt:vector>
  </HeadingPairs>
  <TitlesOfParts>
    <vt:vector size="18" baseType="lpstr">
      <vt:lpstr>I fjor</vt:lpstr>
      <vt:lpstr>plan i år</vt:lpstr>
      <vt:lpstr>alt</vt:lpstr>
      <vt:lpstr>Bem kr sund</vt:lpstr>
      <vt:lpstr>oppsum</vt:lpstr>
      <vt:lpstr>Diagram1</vt:lpstr>
      <vt:lpstr>Diagram2</vt:lpstr>
      <vt:lpstr>Diagram2 (2)</vt:lpstr>
      <vt:lpstr>Di årsverk</vt:lpstr>
      <vt:lpstr>Di fag</vt:lpstr>
      <vt:lpstr>Di stillings</vt:lpstr>
      <vt:lpstr>Di ansatte</vt:lpstr>
      <vt:lpstr>Di loennsutg</vt:lpstr>
      <vt:lpstr>Di utg pers</vt:lpstr>
      <vt:lpstr>Di fravaer</vt:lpstr>
      <vt:lpstr>'Bem kr sund'!Utskriftsområde</vt:lpstr>
      <vt:lpstr>'Bem kr sund'!Utskriftstitler</vt:lpstr>
      <vt:lpstr>'Bem kr sund'!Utskriftstitler_MI</vt:lpstr>
    </vt:vector>
  </TitlesOfParts>
  <Company>Agenda Kaupang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Finn Arthur Forstrøm</dc:creator>
  <cp:lastModifiedBy>Hallvar Stenseth</cp:lastModifiedBy>
  <cp:lastPrinted>2014-05-13T05:01:41Z</cp:lastPrinted>
  <dcterms:created xsi:type="dcterms:W3CDTF">2014-01-30T10:18:50Z</dcterms:created>
  <dcterms:modified xsi:type="dcterms:W3CDTF">2015-10-21T11:26:51Z</dcterms:modified>
</cp:coreProperties>
</file>