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11808" windowHeight="6528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'Ark1'!$A$1:$Q$61</definedName>
  </definedNames>
  <calcPr fullCalcOnLoad="1"/>
</workbook>
</file>

<file path=xl/sharedStrings.xml><?xml version="1.0" encoding="utf-8"?>
<sst xmlns="http://schemas.openxmlformats.org/spreadsheetml/2006/main" count="75" uniqueCount="65">
  <si>
    <t>VEDLEGG 4: KOMMUNEFORVALTNINGENS SAMLEDE INNTEKTER 1988-1999</t>
  </si>
  <si>
    <t>Tabell 4.1. Kommuneforvaltningens inntekter. Ihht. nasjonalregnskapets definisjoner</t>
  </si>
  <si>
    <t>Alle tall er i millioner kroner i løpende priser, unntatt rad 9 og 10 som viser kommuneopplegget i faste 1999 priser.</t>
  </si>
  <si>
    <t>Regnskap</t>
  </si>
  <si>
    <t xml:space="preserve">Anslag </t>
  </si>
  <si>
    <t>1. Skatteinntekter</t>
  </si>
  <si>
    <t>1.1 Skatt på inntekt og formue</t>
  </si>
  <si>
    <t>1.2 Eiendomsskatt, andre prod.skatter</t>
  </si>
  <si>
    <t xml:space="preserve">2. Overføringer fra staten </t>
  </si>
  <si>
    <t>2.1 Rammeoverføringer</t>
  </si>
  <si>
    <t>2.2 Øremerkede overføringer innenf. k.opplegget</t>
  </si>
  <si>
    <t>1)</t>
  </si>
  <si>
    <t>2.3 Øremerkede overføringer utenfor k.opplegget</t>
  </si>
  <si>
    <t>3.  Gebyrer</t>
  </si>
  <si>
    <t>2)</t>
  </si>
  <si>
    <t>4.</t>
  </si>
  <si>
    <t>Renteinntekter</t>
  </si>
  <si>
    <t>5.  Tilskudd til folketrygden</t>
  </si>
  <si>
    <t>6.  Andre innenl. løpende overf.</t>
  </si>
  <si>
    <t>7.  Sum innt. fratr. tilsk. til folketr. (1+2+3+4+5+6)</t>
  </si>
  <si>
    <t>8.  Sum innt. fratr. tilsk. til folketr. og tilsk.</t>
  </si>
  <si>
    <t>Sum inntekter kommuneopplegget (7-2.3)</t>
  </si>
  <si>
    <t>3)</t>
  </si>
  <si>
    <t>9.</t>
  </si>
  <si>
    <t>Kommuneopplegget, faste priser</t>
  </si>
  <si>
    <t>10. Kroner pr innbygger, faste priser</t>
  </si>
  <si>
    <t>1) For en nærmere definisjon av tilskuddene se vedlegg 3 om øremerkede tilskudd</t>
  </si>
  <si>
    <t>2) Gebyrene er eksklusive bygg og anleggsgebyrer</t>
  </si>
  <si>
    <t xml:space="preserve">3) Tilskuddene u. 2.3 tilskudd til arbeidsmarkedstiltak, flyktninger, flom/hjemfall, momskompensasjon, kirkelov m.v. fastlegges ut fra andre vurderinger enn hensynet  til </t>
  </si>
  <si>
    <t xml:space="preserve">     kommunesektorens økonomi. De holdes derfor utenfor når veksten i kommunesektorens inntekter beregnes.   </t>
  </si>
  <si>
    <t>Tabell 4.2. Uviklingen i kommunesektorens frie inntekter.</t>
  </si>
  <si>
    <t xml:space="preserve"> </t>
  </si>
  <si>
    <t>I.  Sum inntekter kommuneopplegget (8)</t>
  </si>
  <si>
    <t>II. Frie inntekter (1+2.1+5)</t>
  </si>
  <si>
    <t>III. Skatteandel i pst. av frie inntekter</t>
  </si>
  <si>
    <t>IIII. Rammetilskudd i pst. av frie inntekter</t>
  </si>
  <si>
    <t>IV.  Øremerkede overføringer i pst. av I.</t>
  </si>
  <si>
    <t>Frie inntekter i pst av I.</t>
  </si>
  <si>
    <t>1) Tilskudd til folketrygden er fratrukket</t>
  </si>
  <si>
    <t>2) Frie inntekter inkl. her eiendkomsskatt, andre prod.skatter</t>
  </si>
  <si>
    <t>Tabell 4.3.  Endringer i kommunesektorens inntekter i prosent fra året før, og  gjennomsnittlig vekst  1988-1999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</si>
  <si>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</si>
  <si>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</si>
  <si>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</si>
  <si>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</si>
  <si>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</si>
  <si>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</si>
  <si>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</si>
  <si>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</si>
  <si>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 xml:space="preserve">96/97 </t>
  </si>
  <si>
    <t xml:space="preserve">97/98 </t>
  </si>
  <si>
    <t xml:space="preserve">98/99 </t>
  </si>
  <si>
    <t>88/99 1)</t>
  </si>
  <si>
    <t>1.2 Eiendomsskatt andre prod.skatter</t>
  </si>
  <si>
    <t>2.2 Øremerkede overføringer innenfor kommuneoppl.</t>
  </si>
  <si>
    <t>2.3 Øremerkede overf. utenf. kommuneopplegget</t>
  </si>
  <si>
    <t xml:space="preserve">3. Gebyrer </t>
  </si>
  <si>
    <t>4. Renteinntekter</t>
  </si>
  <si>
    <t>5. Tilskudd til folketrygden</t>
  </si>
  <si>
    <t>6. Andre innnenl. løpende overf.</t>
  </si>
  <si>
    <t>7. Sum inntekter (1+2+3+4+5+6)</t>
  </si>
  <si>
    <t>8. Sum inntekter kommuneopplegget</t>
  </si>
  <si>
    <t xml:space="preserve">9. Sum inntekter kommuneopplegget, faste priser </t>
  </si>
  <si>
    <t xml:space="preserve">10. Kroner pr. innbygger </t>
  </si>
  <si>
    <t>1) Gjennomsnittlig årlig vekst 1988-1999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</si>
</sst>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\ \ ##0"/>
    <numFmt numFmtId="165" formatCode="0.0%"/>
  </numFmts>
  <fonts count="25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Garamond"/>
      <family val="1"/>
    </font>
    <font>
      <i/>
      <sz val="10"/>
      <name val="Garamond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6"/>
      <name val="Arial"/>
      <family val="2"/>
    </font>
    <font>
      <sz val="6"/>
      <name val="Helv"/>
      <family val="0"/>
    </font>
    <font>
      <sz val="6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4"/>
      <name val="DepCentury Old Style"/>
      <family val="1"/>
    </font>
    <font>
      <i/>
      <sz val="10"/>
      <name val="DepCentury Old Style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sz val="9"/>
      <name val="DepCentury Old Style"/>
      <family val="1"/>
    </font>
    <font>
      <u val="single"/>
      <sz val="10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5" fontId="1" fillId="0" borderId="0" xfId="15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top"/>
    </xf>
    <xf numFmtId="0" fontId="13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 horizontal="centerContinuous"/>
    </xf>
    <xf numFmtId="0" fontId="17" fillId="0" borderId="1" xfId="0" applyFont="1" applyFill="1" applyBorder="1" applyAlignment="1">
      <alignment/>
    </xf>
    <xf numFmtId="0" fontId="19" fillId="0" borderId="1" xfId="0" applyFont="1" applyFill="1" applyBorder="1" applyAlignment="1">
      <alignment horizontal="right"/>
    </xf>
    <xf numFmtId="0" fontId="20" fillId="0" borderId="0" xfId="0" applyFont="1" applyAlignment="1">
      <alignment vertical="top"/>
    </xf>
    <xf numFmtId="0" fontId="20" fillId="0" borderId="0" xfId="0" applyFont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1" xfId="0" applyFont="1" applyFill="1" applyBorder="1" applyAlignment="1">
      <alignment horizontal="right"/>
    </xf>
    <xf numFmtId="0" fontId="17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7" fillId="0" borderId="2" xfId="0" applyFont="1" applyFill="1" applyBorder="1" applyAlignment="1">
      <alignment/>
    </xf>
    <xf numFmtId="0" fontId="17" fillId="0" borderId="1" xfId="16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  <xf numFmtId="164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165" fontId="18" fillId="0" borderId="0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18" fillId="0" borderId="1" xfId="0" applyFont="1" applyBorder="1" applyAlignment="1">
      <alignment horizontal="right"/>
    </xf>
    <xf numFmtId="165" fontId="18" fillId="0" borderId="1" xfId="0" applyNumberFormat="1" applyFont="1" applyBorder="1" applyAlignment="1">
      <alignment/>
    </xf>
    <xf numFmtId="165" fontId="18" fillId="0" borderId="1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8" fillId="0" borderId="2" xfId="0" applyFont="1" applyBorder="1" applyAlignment="1">
      <alignment/>
    </xf>
    <xf numFmtId="3" fontId="18" fillId="0" borderId="0" xfId="0" applyNumberFormat="1" applyFont="1" applyBorder="1" applyAlignment="1">
      <alignment/>
    </xf>
    <xf numFmtId="16" fontId="18" fillId="0" borderId="0" xfId="0" applyNumberFormat="1" applyFont="1" applyBorder="1" applyAlignment="1">
      <alignment/>
    </xf>
    <xf numFmtId="164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18" fillId="0" borderId="0" xfId="0" applyFont="1" applyBorder="1" applyAlignment="1">
      <alignment horizontal="right" vertical="top"/>
    </xf>
    <xf numFmtId="3" fontId="18" fillId="0" borderId="1" xfId="0" applyNumberFormat="1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2" xfId="0" applyFont="1" applyBorder="1" applyAlignment="1">
      <alignment horizontal="right"/>
    </xf>
    <xf numFmtId="164" fontId="18" fillId="0" borderId="2" xfId="0" applyNumberFormat="1" applyFont="1" applyBorder="1" applyAlignment="1">
      <alignment/>
    </xf>
    <xf numFmtId="3" fontId="18" fillId="0" borderId="2" xfId="0" applyNumberFormat="1" applyFont="1" applyBorder="1" applyAlignment="1">
      <alignment/>
    </xf>
    <xf numFmtId="164" fontId="18" fillId="0" borderId="1" xfId="0" applyNumberFormat="1" applyFont="1" applyBorder="1" applyAlignment="1">
      <alignment/>
    </xf>
    <xf numFmtId="164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8" fillId="0" borderId="1" xfId="0" applyFont="1" applyFill="1" applyBorder="1" applyAlignment="1">
      <alignment/>
    </xf>
    <xf numFmtId="0" fontId="18" fillId="0" borderId="1" xfId="0" applyFont="1" applyFill="1" applyBorder="1" applyAlignment="1">
      <alignment horizontal="right"/>
    </xf>
    <xf numFmtId="164" fontId="18" fillId="0" borderId="1" xfId="0" applyNumberFormat="1" applyFont="1" applyFill="1" applyBorder="1" applyAlignment="1">
      <alignment/>
    </xf>
    <xf numFmtId="0" fontId="17" fillId="0" borderId="2" xfId="0" applyFont="1" applyFill="1" applyBorder="1" applyAlignment="1">
      <alignment horizontal="centerContinuous"/>
    </xf>
    <xf numFmtId="0" fontId="18" fillId="0" borderId="2" xfId="0" applyFont="1" applyFill="1" applyBorder="1" applyAlignment="1">
      <alignment horizontal="centerContinuous"/>
    </xf>
    <xf numFmtId="0" fontId="17" fillId="0" borderId="2" xfId="0" applyFont="1" applyFill="1" applyBorder="1" applyAlignment="1">
      <alignment horizontal="right"/>
    </xf>
    <xf numFmtId="0" fontId="17" fillId="0" borderId="1" xfId="0" applyFont="1" applyBorder="1" applyAlignment="1">
      <alignment/>
    </xf>
    <xf numFmtId="0" fontId="21" fillId="0" borderId="2" xfId="0" applyFont="1" applyFill="1" applyBorder="1" applyAlignment="1">
      <alignment horizontal="centerContinuous"/>
    </xf>
    <xf numFmtId="0" fontId="22" fillId="0" borderId="2" xfId="0" applyFont="1" applyFill="1" applyBorder="1" applyAlignment="1">
      <alignment/>
    </xf>
    <xf numFmtId="164" fontId="18" fillId="0" borderId="2" xfId="0" applyNumberFormat="1" applyFont="1" applyBorder="1" applyAlignment="1">
      <alignment horizontal="centerContinuous"/>
    </xf>
    <xf numFmtId="164" fontId="17" fillId="0" borderId="4" xfId="0" applyNumberFormat="1" applyFont="1" applyBorder="1" applyAlignment="1">
      <alignment horizontal="right"/>
    </xf>
    <xf numFmtId="165" fontId="18" fillId="0" borderId="0" xfId="0" applyNumberFormat="1" applyFont="1" applyAlignment="1">
      <alignment/>
    </xf>
    <xf numFmtId="165" fontId="24" fillId="0" borderId="5" xfId="15" applyNumberFormat="1" applyFont="1" applyFill="1" applyBorder="1" applyAlignment="1">
      <alignment/>
    </xf>
    <xf numFmtId="165" fontId="24" fillId="0" borderId="4" xfId="15" applyNumberFormat="1" applyFont="1" applyFill="1" applyBorder="1" applyAlignment="1">
      <alignment/>
    </xf>
    <xf numFmtId="165" fontId="18" fillId="0" borderId="3" xfId="0" applyNumberFormat="1" applyFont="1" applyBorder="1" applyAlignment="1">
      <alignment/>
    </xf>
    <xf numFmtId="165" fontId="18" fillId="0" borderId="1" xfId="0" applyNumberFormat="1" applyFont="1" applyBorder="1" applyAlignment="1">
      <alignment horizontal="right"/>
    </xf>
    <xf numFmtId="17" fontId="18" fillId="0" borderId="0" xfId="0" applyNumberFormat="1" applyFont="1" applyBorder="1" applyAlignment="1">
      <alignment vertical="top"/>
    </xf>
    <xf numFmtId="165" fontId="18" fillId="0" borderId="0" xfId="0" applyNumberFormat="1" applyFont="1" applyBorder="1" applyAlignment="1">
      <alignment/>
    </xf>
    <xf numFmtId="17" fontId="18" fillId="0" borderId="1" xfId="0" applyNumberFormat="1" applyFont="1" applyBorder="1" applyAlignment="1">
      <alignment vertical="top"/>
    </xf>
    <xf numFmtId="165" fontId="23" fillId="0" borderId="2" xfId="15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1"/>
  <sheetViews>
    <sheetView tabSelected="1" zoomScale="75" zoomScaleNormal="75" workbookViewId="0" topLeftCell="A32">
      <selection activeCell="I18" sqref="I18"/>
    </sheetView>
  </sheetViews>
  <sheetFormatPr defaultColWidth="11.421875" defaultRowHeight="12.75"/>
  <cols>
    <col min="1" max="1" width="2.28125" style="1" customWidth="1"/>
    <col min="2" max="3" width="8.8515625" style="1" customWidth="1"/>
    <col min="4" max="4" width="16.00390625" style="1" customWidth="1"/>
    <col min="5" max="5" width="2.421875" style="2" customWidth="1"/>
    <col min="6" max="6" width="8.7109375" style="1" customWidth="1"/>
    <col min="7" max="9" width="8.00390625" style="1" customWidth="1"/>
    <col min="10" max="12" width="7.8515625" style="1" customWidth="1"/>
    <col min="13" max="13" width="8.140625" style="1" customWidth="1"/>
    <col min="14" max="14" width="8.57421875" style="1" customWidth="1"/>
    <col min="15" max="15" width="7.8515625" style="1" customWidth="1"/>
    <col min="16" max="16" width="8.28125" style="3" customWidth="1"/>
    <col min="17" max="16384" width="8.8515625" style="1" customWidth="1"/>
  </cols>
  <sheetData>
    <row r="1" spans="1:3" ht="18.75" customHeight="1">
      <c r="A1" s="44" t="s">
        <v>0</v>
      </c>
      <c r="B1" s="4"/>
      <c r="C1" s="5"/>
    </row>
    <row r="2" spans="1:2" ht="12" customHeight="1">
      <c r="A2" s="6"/>
      <c r="B2" s="7"/>
    </row>
    <row r="3" spans="1:14" ht="15">
      <c r="A3" s="45" t="s">
        <v>1</v>
      </c>
      <c r="B3" s="9"/>
      <c r="C3" s="9"/>
      <c r="D3" s="9"/>
      <c r="E3" s="10"/>
      <c r="F3" s="9"/>
      <c r="G3" s="9"/>
      <c r="H3" s="9"/>
      <c r="I3" s="9"/>
      <c r="J3" s="9"/>
      <c r="K3" s="5"/>
      <c r="L3" s="5"/>
      <c r="M3" s="5"/>
      <c r="N3" s="5"/>
    </row>
    <row r="4" spans="1:14" ht="15">
      <c r="A4" s="45" t="s">
        <v>2</v>
      </c>
      <c r="B4" s="9"/>
      <c r="C4" s="9"/>
      <c r="D4" s="9"/>
      <c r="E4" s="10"/>
      <c r="F4" s="9"/>
      <c r="G4" s="9"/>
      <c r="H4" s="9"/>
      <c r="I4" s="9"/>
      <c r="J4" s="9"/>
      <c r="K4" s="5"/>
      <c r="L4" s="5"/>
      <c r="M4" s="5"/>
      <c r="N4" s="5"/>
    </row>
    <row r="5" spans="1:15" ht="15">
      <c r="A5" s="72"/>
      <c r="B5" s="73"/>
      <c r="C5" s="73"/>
      <c r="D5" s="73"/>
      <c r="E5" s="74"/>
      <c r="F5" s="73"/>
      <c r="G5" s="73"/>
      <c r="H5" s="73"/>
      <c r="I5" s="73"/>
      <c r="J5" s="73"/>
      <c r="K5" s="13"/>
      <c r="L5" s="13"/>
      <c r="M5" s="13"/>
      <c r="N5" s="13"/>
      <c r="O5" s="13"/>
    </row>
    <row r="6" spans="1:17" s="13" customFormat="1" ht="13.5">
      <c r="A6" s="46"/>
      <c r="B6" s="47"/>
      <c r="C6" s="47"/>
      <c r="D6" s="47"/>
      <c r="E6" s="48"/>
      <c r="F6" s="92" t="s">
        <v>3</v>
      </c>
      <c r="G6" s="93"/>
      <c r="H6" s="93"/>
      <c r="I6" s="93"/>
      <c r="J6" s="93"/>
      <c r="K6" s="93"/>
      <c r="L6" s="93"/>
      <c r="M6" s="93"/>
      <c r="N6" s="75"/>
      <c r="O6" s="75"/>
      <c r="P6" s="94" t="s">
        <v>4</v>
      </c>
      <c r="Q6" s="51"/>
    </row>
    <row r="7" spans="1:17" s="15" customFormat="1" ht="13.5">
      <c r="A7" s="52"/>
      <c r="B7" s="52"/>
      <c r="C7" s="52"/>
      <c r="D7" s="52"/>
      <c r="E7" s="53"/>
      <c r="F7" s="52">
        <v>1988</v>
      </c>
      <c r="G7" s="52">
        <v>1989</v>
      </c>
      <c r="H7" s="52">
        <v>1990</v>
      </c>
      <c r="I7" s="52">
        <v>1991</v>
      </c>
      <c r="J7" s="52">
        <v>1992</v>
      </c>
      <c r="K7" s="52">
        <v>1993</v>
      </c>
      <c r="L7" s="52">
        <v>1994</v>
      </c>
      <c r="M7" s="52">
        <v>1995</v>
      </c>
      <c r="N7" s="52">
        <v>1996</v>
      </c>
      <c r="O7" s="52">
        <v>1997</v>
      </c>
      <c r="P7" s="52">
        <v>1998</v>
      </c>
      <c r="Q7" s="95">
        <v>1999</v>
      </c>
    </row>
    <row r="8" spans="1:17" s="13" customFormat="1" ht="13.5">
      <c r="A8" s="50" t="s">
        <v>5</v>
      </c>
      <c r="B8" s="50"/>
      <c r="C8" s="50"/>
      <c r="D8" s="50"/>
      <c r="E8" s="66"/>
      <c r="F8" s="65">
        <f>54383+1990</f>
        <v>56373</v>
      </c>
      <c r="G8" s="65">
        <v>58699</v>
      </c>
      <c r="H8" s="65">
        <v>61552</v>
      </c>
      <c r="I8" s="65">
        <f>61411+2597</f>
        <v>64008</v>
      </c>
      <c r="J8" s="65">
        <v>65308</v>
      </c>
      <c r="K8" s="65">
        <v>68281</v>
      </c>
      <c r="L8" s="65">
        <v>74986</v>
      </c>
      <c r="M8" s="65">
        <v>75898</v>
      </c>
      <c r="N8" s="65">
        <v>80747</v>
      </c>
      <c r="O8" s="76">
        <f>SUM(O9:O10)</f>
        <v>85185</v>
      </c>
      <c r="P8" s="65">
        <f>SUM(P9:P10)</f>
        <v>88719</v>
      </c>
      <c r="Q8" s="76">
        <f>SUM(Q9:Q10)</f>
        <v>90065</v>
      </c>
    </row>
    <row r="9" spans="1:17" s="13" customFormat="1" ht="13.5">
      <c r="A9" s="50"/>
      <c r="B9" s="77" t="s">
        <v>6</v>
      </c>
      <c r="C9" s="50"/>
      <c r="D9" s="50"/>
      <c r="E9" s="66"/>
      <c r="F9" s="65">
        <v>54383</v>
      </c>
      <c r="G9" s="65">
        <v>56326</v>
      </c>
      <c r="H9" s="65">
        <v>58925</v>
      </c>
      <c r="I9" s="65">
        <v>61411</v>
      </c>
      <c r="J9" s="65">
        <v>62382</v>
      </c>
      <c r="K9" s="65">
        <v>65277</v>
      </c>
      <c r="L9" s="65">
        <v>71763</v>
      </c>
      <c r="M9" s="65">
        <v>72570</v>
      </c>
      <c r="N9" s="65">
        <v>77187</v>
      </c>
      <c r="O9" s="76">
        <v>81789</v>
      </c>
      <c r="P9" s="65">
        <v>85439</v>
      </c>
      <c r="Q9" s="76">
        <v>86645</v>
      </c>
    </row>
    <row r="10" spans="1:17" s="13" customFormat="1" ht="13.5">
      <c r="A10" s="50"/>
      <c r="B10" s="50" t="s">
        <v>7</v>
      </c>
      <c r="C10" s="50"/>
      <c r="D10" s="50"/>
      <c r="E10" s="66"/>
      <c r="F10" s="65">
        <f>1704+286</f>
        <v>1990</v>
      </c>
      <c r="G10" s="65">
        <f>1961+412</f>
        <v>2373</v>
      </c>
      <c r="H10" s="65">
        <f>2216+411</f>
        <v>2627</v>
      </c>
      <c r="I10" s="65">
        <f>2267+330</f>
        <v>2597</v>
      </c>
      <c r="J10" s="65">
        <f>2591+335</f>
        <v>2926</v>
      </c>
      <c r="K10" s="65">
        <f>2685+319</f>
        <v>3004</v>
      </c>
      <c r="L10" s="65">
        <f>2792+431</f>
        <v>3223</v>
      </c>
      <c r="M10" s="65">
        <f>2898+430</f>
        <v>3328</v>
      </c>
      <c r="N10" s="65">
        <f>3034+526</f>
        <v>3560</v>
      </c>
      <c r="O10" s="76">
        <f>2842+554</f>
        <v>3396</v>
      </c>
      <c r="P10" s="65">
        <f>2700+580</f>
        <v>3280</v>
      </c>
      <c r="Q10" s="76">
        <f>2820+600</f>
        <v>3420</v>
      </c>
    </row>
    <row r="11" spans="1:17" ht="13.5">
      <c r="A11" s="57" t="s">
        <v>8</v>
      </c>
      <c r="B11" s="57"/>
      <c r="C11" s="57"/>
      <c r="D11" s="57"/>
      <c r="E11" s="66"/>
      <c r="F11" s="78">
        <f>SUM(F12:F14)</f>
        <v>45370</v>
      </c>
      <c r="G11" s="78">
        <f>SUM(G12:G14)</f>
        <v>51000</v>
      </c>
      <c r="H11" s="78">
        <v>54339</v>
      </c>
      <c r="I11" s="78">
        <f>SUM(I12:I14)</f>
        <v>58782</v>
      </c>
      <c r="J11" s="78">
        <f>SUM(J12:J14)</f>
        <v>63478</v>
      </c>
      <c r="K11" s="78">
        <f>SUM(K12:K14)</f>
        <v>63883</v>
      </c>
      <c r="L11" s="78">
        <v>65816</v>
      </c>
      <c r="M11" s="78">
        <f>SUM(M12:M14)</f>
        <v>67273</v>
      </c>
      <c r="N11" s="78">
        <f>SUM(N12:N14)</f>
        <v>68773</v>
      </c>
      <c r="O11" s="65">
        <f>SUM(O12:O14)</f>
        <v>73918</v>
      </c>
      <c r="P11" s="65">
        <f>SUM(P12:P14)</f>
        <v>78423</v>
      </c>
      <c r="Q11" s="76">
        <f>SUM(Q12:Q14)</f>
        <v>84902</v>
      </c>
    </row>
    <row r="12" spans="1:17" ht="13.5">
      <c r="A12" s="57"/>
      <c r="B12" s="57" t="s">
        <v>9</v>
      </c>
      <c r="C12" s="57"/>
      <c r="D12" s="57"/>
      <c r="E12" s="66"/>
      <c r="F12" s="78">
        <v>36103</v>
      </c>
      <c r="G12" s="78">
        <v>39442</v>
      </c>
      <c r="H12" s="78">
        <v>41043</v>
      </c>
      <c r="I12" s="78">
        <v>40887</v>
      </c>
      <c r="J12" s="78">
        <v>42951</v>
      </c>
      <c r="K12" s="78">
        <v>40697</v>
      </c>
      <c r="L12" s="78">
        <v>41823</v>
      </c>
      <c r="M12" s="78">
        <v>42453</v>
      </c>
      <c r="N12" s="78">
        <v>42700</v>
      </c>
      <c r="O12" s="76">
        <v>46242</v>
      </c>
      <c r="P12" s="65">
        <v>46705</v>
      </c>
      <c r="Q12" s="79">
        <v>49145</v>
      </c>
    </row>
    <row r="13" spans="1:17" ht="12.75" customHeight="1">
      <c r="A13" s="57"/>
      <c r="B13" s="57" t="s">
        <v>10</v>
      </c>
      <c r="C13" s="57"/>
      <c r="D13" s="57"/>
      <c r="E13" s="80" t="s">
        <v>11</v>
      </c>
      <c r="F13" s="78">
        <f>7406-524</f>
        <v>6882</v>
      </c>
      <c r="G13" s="78">
        <f>9110-219</f>
        <v>8891</v>
      </c>
      <c r="H13" s="78">
        <f>9464+1089</f>
        <v>10553</v>
      </c>
      <c r="I13" s="78">
        <f>13541+984</f>
        <v>14525</v>
      </c>
      <c r="J13" s="78">
        <v>16258</v>
      </c>
      <c r="K13" s="78">
        <v>17427</v>
      </c>
      <c r="L13" s="78">
        <v>16897</v>
      </c>
      <c r="M13" s="78">
        <v>18408</v>
      </c>
      <c r="N13" s="79">
        <v>19903</v>
      </c>
      <c r="O13" s="76">
        <v>21601</v>
      </c>
      <c r="P13" s="65">
        <v>26001</v>
      </c>
      <c r="Q13" s="79">
        <v>30351</v>
      </c>
    </row>
    <row r="14" spans="1:17" ht="13.5">
      <c r="A14" s="57"/>
      <c r="B14" s="57" t="s">
        <v>12</v>
      </c>
      <c r="C14" s="57"/>
      <c r="D14" s="57"/>
      <c r="E14" s="66"/>
      <c r="F14" s="78">
        <f>1861+524</f>
        <v>2385</v>
      </c>
      <c r="G14" s="78">
        <f>2448+219</f>
        <v>2667</v>
      </c>
      <c r="H14" s="78">
        <f>3840-1089</f>
        <v>2751</v>
      </c>
      <c r="I14" s="78">
        <f>4354-984</f>
        <v>3370</v>
      </c>
      <c r="J14" s="78">
        <v>4269</v>
      </c>
      <c r="K14" s="78">
        <f>1916+3486+357</f>
        <v>5759</v>
      </c>
      <c r="L14" s="78">
        <f>2348+3723+1024</f>
        <v>7095</v>
      </c>
      <c r="M14" s="78">
        <v>6412</v>
      </c>
      <c r="N14" s="78">
        <v>6170</v>
      </c>
      <c r="O14" s="76">
        <v>6075</v>
      </c>
      <c r="P14" s="65">
        <v>5717</v>
      </c>
      <c r="Q14" s="79">
        <v>5406</v>
      </c>
    </row>
    <row r="15" spans="1:17" ht="13.5">
      <c r="A15" s="57" t="s">
        <v>13</v>
      </c>
      <c r="B15" s="57"/>
      <c r="C15" s="57"/>
      <c r="D15" s="57"/>
      <c r="E15" s="80" t="s">
        <v>14</v>
      </c>
      <c r="F15" s="78">
        <f>10851</f>
        <v>10851</v>
      </c>
      <c r="G15" s="78">
        <f>12259</f>
        <v>12259</v>
      </c>
      <c r="H15" s="78">
        <f>13221</f>
        <v>13221</v>
      </c>
      <c r="I15" s="78">
        <f>15255</f>
        <v>15255</v>
      </c>
      <c r="J15" s="78">
        <f>16414</f>
        <v>16414</v>
      </c>
      <c r="K15" s="78">
        <f>17307</f>
        <v>17307</v>
      </c>
      <c r="L15" s="78">
        <v>18403</v>
      </c>
      <c r="M15" s="78">
        <v>19512</v>
      </c>
      <c r="N15" s="78">
        <f>25584-4704</f>
        <v>20880</v>
      </c>
      <c r="O15" s="76">
        <v>22247</v>
      </c>
      <c r="P15" s="65">
        <v>23400</v>
      </c>
      <c r="Q15" s="79">
        <v>24840</v>
      </c>
    </row>
    <row r="16" spans="1:17" ht="13.5">
      <c r="A16" s="57" t="s">
        <v>15</v>
      </c>
      <c r="B16" s="57" t="s">
        <v>16</v>
      </c>
      <c r="C16" s="57"/>
      <c r="D16" s="57"/>
      <c r="E16" s="80"/>
      <c r="F16" s="78">
        <v>2623</v>
      </c>
      <c r="G16" s="78">
        <v>2444</v>
      </c>
      <c r="H16" s="78">
        <v>2591</v>
      </c>
      <c r="I16" s="78">
        <v>2947</v>
      </c>
      <c r="J16" s="78">
        <v>3120</v>
      </c>
      <c r="K16" s="78">
        <v>3028</v>
      </c>
      <c r="L16" s="78">
        <v>2500</v>
      </c>
      <c r="M16" s="78">
        <v>2946</v>
      </c>
      <c r="N16" s="78">
        <v>3131</v>
      </c>
      <c r="O16" s="76">
        <v>3937</v>
      </c>
      <c r="P16" s="65">
        <v>4600</v>
      </c>
      <c r="Q16" s="79">
        <v>4900</v>
      </c>
    </row>
    <row r="17" spans="1:17" ht="13.5">
      <c r="A17" s="57" t="s">
        <v>17</v>
      </c>
      <c r="B17" s="57"/>
      <c r="C17" s="57"/>
      <c r="D17" s="57"/>
      <c r="E17" s="66"/>
      <c r="F17" s="78">
        <v>-2900</v>
      </c>
      <c r="G17" s="78">
        <v>-4750</v>
      </c>
      <c r="H17" s="78">
        <v>-4072</v>
      </c>
      <c r="I17" s="78">
        <v>-2093</v>
      </c>
      <c r="J17" s="78">
        <v>-400</v>
      </c>
      <c r="K17" s="78">
        <v>0</v>
      </c>
      <c r="L17" s="78">
        <v>0</v>
      </c>
      <c r="M17" s="78">
        <v>0</v>
      </c>
      <c r="N17" s="78">
        <v>0</v>
      </c>
      <c r="O17" s="76">
        <v>0</v>
      </c>
      <c r="P17" s="65">
        <v>0</v>
      </c>
      <c r="Q17" s="79">
        <v>0</v>
      </c>
    </row>
    <row r="18" spans="1:17" ht="13.5">
      <c r="A18" s="57" t="s">
        <v>18</v>
      </c>
      <c r="B18" s="57"/>
      <c r="C18" s="57"/>
      <c r="D18" s="57"/>
      <c r="E18" s="66"/>
      <c r="F18" s="78">
        <v>1804</v>
      </c>
      <c r="G18" s="78">
        <v>1732</v>
      </c>
      <c r="H18" s="78">
        <v>1771</v>
      </c>
      <c r="I18" s="78">
        <v>1979</v>
      </c>
      <c r="J18" s="78">
        <v>2147</v>
      </c>
      <c r="K18" s="78">
        <v>2152</v>
      </c>
      <c r="L18" s="78">
        <v>2231</v>
      </c>
      <c r="M18" s="78">
        <v>2287</v>
      </c>
      <c r="N18" s="78">
        <v>2113</v>
      </c>
      <c r="O18" s="81">
        <v>2414</v>
      </c>
      <c r="P18" s="65">
        <v>2600</v>
      </c>
      <c r="Q18" s="79">
        <v>2650</v>
      </c>
    </row>
    <row r="19" spans="1:17" s="13" customFormat="1" ht="14.25" customHeight="1">
      <c r="A19" s="82" t="s">
        <v>19</v>
      </c>
      <c r="B19" s="82"/>
      <c r="C19" s="82"/>
      <c r="D19" s="82"/>
      <c r="E19" s="83"/>
      <c r="F19" s="84">
        <f>SUM(F8+F11+F15+F16+F17+F18)</f>
        <v>114121</v>
      </c>
      <c r="G19" s="84">
        <f aca="true" t="shared" si="0" ref="G19:M19">SUM(G8+G11+G15+G16+G17+G18)</f>
        <v>121384</v>
      </c>
      <c r="H19" s="84">
        <f t="shared" si="0"/>
        <v>129402</v>
      </c>
      <c r="I19" s="84">
        <f t="shared" si="0"/>
        <v>140878</v>
      </c>
      <c r="J19" s="84">
        <f t="shared" si="0"/>
        <v>150067</v>
      </c>
      <c r="K19" s="84">
        <f t="shared" si="0"/>
        <v>154651</v>
      </c>
      <c r="L19" s="84">
        <f t="shared" si="0"/>
        <v>163936</v>
      </c>
      <c r="M19" s="84">
        <f t="shared" si="0"/>
        <v>167916</v>
      </c>
      <c r="N19" s="84">
        <f>SUM(N8+N11+N15+N16+N17+N18)</f>
        <v>175644</v>
      </c>
      <c r="O19" s="81">
        <f>SUM(O8+O11+O15+O16+O17+O18)</f>
        <v>187701</v>
      </c>
      <c r="P19" s="85">
        <f>SUM(P8+P11+P15+P16+P17+P18)</f>
        <v>197742</v>
      </c>
      <c r="Q19" s="85">
        <f>SUM(Q8+Q11+Q15+Q16+Q17+Q18)</f>
        <v>207357</v>
      </c>
    </row>
    <row r="20" spans="1:17" s="13" customFormat="1" ht="13.5">
      <c r="A20" s="75" t="s">
        <v>20</v>
      </c>
      <c r="B20" s="75" t="s">
        <v>21</v>
      </c>
      <c r="C20" s="75"/>
      <c r="D20" s="75"/>
      <c r="E20" s="69" t="s">
        <v>22</v>
      </c>
      <c r="F20" s="86">
        <f aca="true" t="shared" si="1" ref="F20:L20">SUM(F19-F14)</f>
        <v>111736</v>
      </c>
      <c r="G20" s="86">
        <f t="shared" si="1"/>
        <v>118717</v>
      </c>
      <c r="H20" s="86">
        <f t="shared" si="1"/>
        <v>126651</v>
      </c>
      <c r="I20" s="86">
        <f t="shared" si="1"/>
        <v>137508</v>
      </c>
      <c r="J20" s="86">
        <f t="shared" si="1"/>
        <v>145798</v>
      </c>
      <c r="K20" s="86">
        <f t="shared" si="1"/>
        <v>148892</v>
      </c>
      <c r="L20" s="86">
        <f t="shared" si="1"/>
        <v>156841</v>
      </c>
      <c r="M20" s="86">
        <f>M19-M14</f>
        <v>161504</v>
      </c>
      <c r="N20" s="86">
        <f>SUM(N19-N14)</f>
        <v>169474</v>
      </c>
      <c r="O20" s="86">
        <f>(O19-O14)</f>
        <v>181626</v>
      </c>
      <c r="P20" s="84">
        <f>(P19-P14)</f>
        <v>192025</v>
      </c>
      <c r="Q20" s="85">
        <f>(Q19-Q14)</f>
        <v>201951</v>
      </c>
    </row>
    <row r="21" spans="1:17" s="20" customFormat="1" ht="13.5">
      <c r="A21" s="47" t="s">
        <v>23</v>
      </c>
      <c r="B21" s="47" t="s">
        <v>24</v>
      </c>
      <c r="C21" s="47"/>
      <c r="D21" s="47"/>
      <c r="E21" s="48"/>
      <c r="F21" s="87">
        <f>F20*1.037*1.023*1.037*1.019*1.005*1.024*1.033*1.04*1.03*1.057*1.04</f>
        <v>156799.8638183315</v>
      </c>
      <c r="G21" s="87">
        <f>G20*1.023*1.037*1.019*1.005*1.024*1.033*1.04*1.03*1.057*1.04</f>
        <v>160652.21508248008</v>
      </c>
      <c r="H21" s="87">
        <f>H20*1.037*1.019*1.005*1.024*1.033*1.04*1.03*1.057*1.04</f>
        <v>167535.47994178973</v>
      </c>
      <c r="I21" s="87">
        <f>I20*1.019*1.005*1.024*1.033*1.04*1.03*1.057*1.04</f>
        <v>175407.18544972467</v>
      </c>
      <c r="J21" s="87">
        <f>J20*1.005*1.024*1.033*1.04*1.03*1.057*1.04</f>
        <v>182514.25795677112</v>
      </c>
      <c r="K21" s="87">
        <f>K20*1.024*1.033*1.04*1.03*1.057*1.04</f>
        <v>185460.11827377038</v>
      </c>
      <c r="L21" s="87">
        <f>L20*1.033*1.04*1.03*1.057*1.04</f>
        <v>190782.6227059742</v>
      </c>
      <c r="M21" s="87">
        <f>M20*1.04*1.03*1.057*1.04</f>
        <v>190178.83105894402</v>
      </c>
      <c r="N21" s="87">
        <f>N20*1.03*1.057*1.04</f>
        <v>191888.3600816</v>
      </c>
      <c r="O21" s="87">
        <f>O20*1.057*1.04</f>
        <v>199657.82928</v>
      </c>
      <c r="P21" s="87">
        <f>P20*1.04</f>
        <v>199706</v>
      </c>
      <c r="Q21" s="88">
        <f>Q20</f>
        <v>201951</v>
      </c>
    </row>
    <row r="22" spans="1:17" s="20" customFormat="1" ht="13.5">
      <c r="A22" s="89" t="s">
        <v>25</v>
      </c>
      <c r="B22" s="89"/>
      <c r="C22" s="89"/>
      <c r="D22" s="89"/>
      <c r="E22" s="90"/>
      <c r="F22" s="91">
        <f>F21*1000000/4198289</f>
        <v>37348.515983137775</v>
      </c>
      <c r="G22" s="91">
        <f>G21*1000000/4220686</f>
        <v>38063.057778399074</v>
      </c>
      <c r="H22" s="91">
        <f>H21*1000000/4233116</f>
        <v>39577.34206711787</v>
      </c>
      <c r="I22" s="91">
        <f>I21*1000000/4249830</f>
        <v>41273.92988654244</v>
      </c>
      <c r="J22" s="91">
        <f>J21*1000000/4273634</f>
        <v>42707.039946979814</v>
      </c>
      <c r="K22" s="91">
        <f>K21*1000000/4299167</f>
        <v>43138.616916665575</v>
      </c>
      <c r="L22" s="91">
        <f>L21*1000000/4324815</f>
        <v>44113.47599977669</v>
      </c>
      <c r="M22" s="91">
        <f>M21*1000000/4348410</f>
        <v>43735.25749847508</v>
      </c>
      <c r="N22" s="91">
        <f>N21*1000000/4369957</f>
        <v>43910.81195572405</v>
      </c>
      <c r="O22" s="91">
        <f>O21*1000000/4392714</f>
        <v>45452.04383440397</v>
      </c>
      <c r="P22" s="91">
        <f>P21*1000000/4417599</f>
        <v>45206.9099073954</v>
      </c>
      <c r="Q22" s="91">
        <f>Q21*1000000/4445460</f>
        <v>45428.59456614163</v>
      </c>
    </row>
    <row r="23" spans="1:15" ht="12.75">
      <c r="A23" s="54" t="s">
        <v>26</v>
      </c>
      <c r="B23" s="21"/>
      <c r="C23" s="21"/>
      <c r="D23" s="21"/>
      <c r="E23" s="22"/>
      <c r="F23" s="21"/>
      <c r="G23" s="21"/>
      <c r="H23" s="21"/>
      <c r="I23" s="21"/>
      <c r="J23" s="21"/>
      <c r="K23" s="21"/>
      <c r="L23" s="21"/>
      <c r="M23" s="7"/>
      <c r="N23" s="7"/>
      <c r="O23" s="7"/>
    </row>
    <row r="24" spans="1:15" ht="12.75">
      <c r="A24" s="54" t="s">
        <v>27</v>
      </c>
      <c r="B24" s="21"/>
      <c r="C24" s="21"/>
      <c r="D24" s="21"/>
      <c r="E24" s="22"/>
      <c r="F24" s="21"/>
      <c r="G24" s="21"/>
      <c r="H24" s="21"/>
      <c r="I24" s="21"/>
      <c r="J24" s="21"/>
      <c r="K24" s="21"/>
      <c r="L24" s="21"/>
      <c r="M24" s="7"/>
      <c r="N24" s="7"/>
      <c r="O24" s="7"/>
    </row>
    <row r="25" spans="1:15" ht="12.75">
      <c r="A25" s="55" t="s">
        <v>28</v>
      </c>
      <c r="B25" s="23"/>
      <c r="C25" s="21"/>
      <c r="D25" s="21"/>
      <c r="E25" s="22"/>
      <c r="F25" s="21"/>
      <c r="G25" s="21"/>
      <c r="H25" s="21"/>
      <c r="I25" s="21"/>
      <c r="J25" s="21"/>
      <c r="K25" s="21"/>
      <c r="L25" s="21"/>
      <c r="M25" s="7"/>
      <c r="N25" s="7"/>
      <c r="O25" s="7"/>
    </row>
    <row r="26" spans="1:15" ht="12.75">
      <c r="A26" s="55" t="s">
        <v>29</v>
      </c>
      <c r="B26" s="21"/>
      <c r="C26" s="21"/>
      <c r="D26" s="24"/>
      <c r="E26" s="25"/>
      <c r="F26" s="21"/>
      <c r="G26" s="21"/>
      <c r="H26" s="21"/>
      <c r="I26" s="23"/>
      <c r="J26" s="21"/>
      <c r="K26" s="21"/>
      <c r="L26" s="21"/>
      <c r="M26" s="7"/>
      <c r="N26" s="7"/>
      <c r="O26" s="7"/>
    </row>
    <row r="27" s="7" customFormat="1" ht="12.75">
      <c r="A27" s="18"/>
    </row>
    <row r="28" spans="1:12" ht="7.5" customHeight="1">
      <c r="A28" s="26"/>
      <c r="B28" s="26"/>
      <c r="C28" s="26"/>
      <c r="D28" s="27"/>
      <c r="E28" s="28"/>
      <c r="F28" s="26"/>
      <c r="G28" s="26"/>
      <c r="H28" s="26"/>
      <c r="I28" s="26"/>
      <c r="J28" s="26"/>
      <c r="K28" s="26"/>
      <c r="L28" s="26"/>
    </row>
    <row r="29" ht="12.75">
      <c r="A29" s="45" t="s">
        <v>30</v>
      </c>
    </row>
    <row r="30" spans="1:17" ht="9" customHeight="1">
      <c r="A30" s="56"/>
      <c r="B30" s="13"/>
      <c r="C30" s="13"/>
      <c r="D30" s="1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9"/>
      <c r="Q30" s="11"/>
    </row>
    <row r="31" spans="1:17" ht="12.75" customHeight="1">
      <c r="A31" s="12"/>
      <c r="B31" s="47"/>
      <c r="C31" s="47"/>
      <c r="D31" s="47"/>
      <c r="E31" s="48"/>
      <c r="F31" s="59" t="s">
        <v>3</v>
      </c>
      <c r="G31" s="60"/>
      <c r="H31" s="60"/>
      <c r="I31" s="60"/>
      <c r="J31" s="60"/>
      <c r="K31" s="60"/>
      <c r="L31" s="60" t="s">
        <v>31</v>
      </c>
      <c r="M31" s="60"/>
      <c r="N31" s="57"/>
      <c r="O31" s="57"/>
      <c r="P31" s="58" t="s">
        <v>4</v>
      </c>
      <c r="Q31" s="49"/>
    </row>
    <row r="32" spans="1:17" s="15" customFormat="1" ht="14.25" customHeight="1">
      <c r="A32" s="14"/>
      <c r="B32" s="52"/>
      <c r="C32" s="52"/>
      <c r="D32" s="52"/>
      <c r="E32" s="58"/>
      <c r="F32" s="61">
        <v>1988</v>
      </c>
      <c r="G32" s="61">
        <v>1989</v>
      </c>
      <c r="H32" s="61">
        <v>1990</v>
      </c>
      <c r="I32" s="61">
        <v>1991</v>
      </c>
      <c r="J32" s="61">
        <v>1992</v>
      </c>
      <c r="K32" s="61">
        <v>1993</v>
      </c>
      <c r="L32" s="61">
        <v>1994</v>
      </c>
      <c r="M32" s="61">
        <v>1995</v>
      </c>
      <c r="N32" s="61">
        <v>1996</v>
      </c>
      <c r="O32" s="61">
        <v>1997</v>
      </c>
      <c r="P32" s="62">
        <v>1998</v>
      </c>
      <c r="Q32" s="62">
        <v>1999</v>
      </c>
    </row>
    <row r="33" spans="1:43" s="11" customFormat="1" ht="13.5" customHeight="1">
      <c r="A33" s="63" t="s">
        <v>32</v>
      </c>
      <c r="B33" s="50"/>
      <c r="C33" s="50"/>
      <c r="D33" s="50"/>
      <c r="E33" s="64"/>
      <c r="F33" s="65">
        <f aca="true" t="shared" si="2" ref="F33:Q33">F20</f>
        <v>111736</v>
      </c>
      <c r="G33" s="65">
        <f t="shared" si="2"/>
        <v>118717</v>
      </c>
      <c r="H33" s="65">
        <f t="shared" si="2"/>
        <v>126651</v>
      </c>
      <c r="I33" s="65">
        <f t="shared" si="2"/>
        <v>137508</v>
      </c>
      <c r="J33" s="65">
        <f t="shared" si="2"/>
        <v>145798</v>
      </c>
      <c r="K33" s="65">
        <f t="shared" si="2"/>
        <v>148892</v>
      </c>
      <c r="L33" s="65">
        <f t="shared" si="2"/>
        <v>156841</v>
      </c>
      <c r="M33" s="65">
        <f t="shared" si="2"/>
        <v>161504</v>
      </c>
      <c r="N33" s="65">
        <f t="shared" si="2"/>
        <v>169474</v>
      </c>
      <c r="O33" s="65">
        <f t="shared" si="2"/>
        <v>181626</v>
      </c>
      <c r="P33" s="65">
        <f t="shared" si="2"/>
        <v>192025</v>
      </c>
      <c r="Q33" s="65">
        <f t="shared" si="2"/>
        <v>201951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</row>
    <row r="34" spans="1:17" ht="13.5">
      <c r="A34" s="63" t="s">
        <v>33</v>
      </c>
      <c r="B34" s="50"/>
      <c r="C34" s="50"/>
      <c r="D34" s="50"/>
      <c r="E34" s="66"/>
      <c r="F34" s="65">
        <f>F8+F12+F17</f>
        <v>89576</v>
      </c>
      <c r="G34" s="65">
        <f aca="true" t="shared" si="3" ref="G34:Q34">G8+G12+G17</f>
        <v>93391</v>
      </c>
      <c r="H34" s="65">
        <f t="shared" si="3"/>
        <v>98523</v>
      </c>
      <c r="I34" s="65">
        <f t="shared" si="3"/>
        <v>102802</v>
      </c>
      <c r="J34" s="65">
        <f t="shared" si="3"/>
        <v>107859</v>
      </c>
      <c r="K34" s="65">
        <f t="shared" si="3"/>
        <v>108978</v>
      </c>
      <c r="L34" s="65">
        <f t="shared" si="3"/>
        <v>116809</v>
      </c>
      <c r="M34" s="65">
        <f t="shared" si="3"/>
        <v>118351</v>
      </c>
      <c r="N34" s="65">
        <f t="shared" si="3"/>
        <v>123447</v>
      </c>
      <c r="O34" s="65">
        <f t="shared" si="3"/>
        <v>131427</v>
      </c>
      <c r="P34" s="65">
        <f t="shared" si="3"/>
        <v>135424</v>
      </c>
      <c r="Q34" s="65">
        <f t="shared" si="3"/>
        <v>139210</v>
      </c>
    </row>
    <row r="35" spans="1:17" ht="13.5">
      <c r="A35" s="63" t="s">
        <v>34</v>
      </c>
      <c r="B35" s="50"/>
      <c r="C35" s="50"/>
      <c r="D35" s="50"/>
      <c r="E35" s="66" t="s">
        <v>11</v>
      </c>
      <c r="F35" s="67">
        <f>(F8+F17)/F34</f>
        <v>0.5969567741359293</v>
      </c>
      <c r="G35" s="67">
        <f>(G8+G17)/G34</f>
        <v>0.5776680836483173</v>
      </c>
      <c r="H35" s="67">
        <f>(H8+H17)/H34</f>
        <v>0.5834170701257574</v>
      </c>
      <c r="I35" s="67">
        <f>(I8+I17)/I34</f>
        <v>0.6022742748195561</v>
      </c>
      <c r="J35" s="67">
        <f>(J8+J17)/J34</f>
        <v>0.6017856646176953</v>
      </c>
      <c r="K35" s="67">
        <f>(K8+K17)/K34</f>
        <v>0.6265576538383894</v>
      </c>
      <c r="L35" s="67">
        <f>(L8+L17)/L34</f>
        <v>0.6419539590271297</v>
      </c>
      <c r="M35" s="67">
        <f>(M8+M17)/M34</f>
        <v>0.6412958065415586</v>
      </c>
      <c r="N35" s="67">
        <f>(N8+N17)/N34</f>
        <v>0.6541025703338275</v>
      </c>
      <c r="O35" s="67">
        <f>(O8+O17)/O34</f>
        <v>0.6481544888036704</v>
      </c>
      <c r="P35" s="67">
        <f>(P8+P17)/P34</f>
        <v>0.6551202150283554</v>
      </c>
      <c r="Q35" s="67">
        <f>(Q8+Q17)/Q34</f>
        <v>0.6469722002729689</v>
      </c>
    </row>
    <row r="36" spans="1:17" ht="13.5">
      <c r="A36" s="63" t="s">
        <v>35</v>
      </c>
      <c r="B36" s="50"/>
      <c r="C36" s="50"/>
      <c r="D36" s="50"/>
      <c r="E36" s="66"/>
      <c r="F36" s="67">
        <f>F12/F34</f>
        <v>0.4030432258640707</v>
      </c>
      <c r="G36" s="67">
        <f>G12/G34</f>
        <v>0.4223319163516827</v>
      </c>
      <c r="H36" s="67">
        <f>H12/H34</f>
        <v>0.41658292987424256</v>
      </c>
      <c r="I36" s="67">
        <f>I12/I34</f>
        <v>0.39772572518044397</v>
      </c>
      <c r="J36" s="67">
        <f>J12/J34</f>
        <v>0.39821433538230466</v>
      </c>
      <c r="K36" s="67">
        <f>K12/K34</f>
        <v>0.3734423461616106</v>
      </c>
      <c r="L36" s="67">
        <f>L12/L34</f>
        <v>0.35804604097287024</v>
      </c>
      <c r="M36" s="67">
        <f>M12/M34</f>
        <v>0.3587041934584414</v>
      </c>
      <c r="N36" s="67">
        <f>N12/N34</f>
        <v>0.34589742966617254</v>
      </c>
      <c r="O36" s="67">
        <f>O12/O34</f>
        <v>0.3518455111963295</v>
      </c>
      <c r="P36" s="67">
        <f>P12/P34</f>
        <v>0.3448797849716446</v>
      </c>
      <c r="Q36" s="67">
        <f>Q12/Q34</f>
        <v>0.3530277997270311</v>
      </c>
    </row>
    <row r="37" spans="1:17" ht="13.5">
      <c r="A37" s="68" t="s">
        <v>36</v>
      </c>
      <c r="B37" s="49" t="s">
        <v>37</v>
      </c>
      <c r="C37" s="49"/>
      <c r="D37" s="49"/>
      <c r="E37" s="69" t="s">
        <v>14</v>
      </c>
      <c r="F37" s="70">
        <f aca="true" t="shared" si="4" ref="F37:M37">F34/F33</f>
        <v>0.8016753776759504</v>
      </c>
      <c r="G37" s="70">
        <f t="shared" si="4"/>
        <v>0.7866691375287448</v>
      </c>
      <c r="H37" s="70">
        <f t="shared" si="4"/>
        <v>0.7779093730013975</v>
      </c>
      <c r="I37" s="70">
        <f t="shared" si="4"/>
        <v>0.7476074119323967</v>
      </c>
      <c r="J37" s="70">
        <f t="shared" si="4"/>
        <v>0.73978381047751</v>
      </c>
      <c r="K37" s="70">
        <f t="shared" si="4"/>
        <v>0.7319264970582704</v>
      </c>
      <c r="L37" s="70">
        <f t="shared" si="4"/>
        <v>0.7447606174405927</v>
      </c>
      <c r="M37" s="70">
        <f t="shared" si="4"/>
        <v>0.7328053794333267</v>
      </c>
      <c r="N37" s="70">
        <f>N34/N33</f>
        <v>0.7284126178646873</v>
      </c>
      <c r="O37" s="71">
        <f>O34/O33</f>
        <v>0.7236133593208021</v>
      </c>
      <c r="P37" s="71">
        <f>P34/P33</f>
        <v>0.7052415050123682</v>
      </c>
      <c r="Q37" s="71">
        <f>Q34/Q33</f>
        <v>0.6893256284940407</v>
      </c>
    </row>
    <row r="38" spans="1:15" ht="12" customHeight="1">
      <c r="A38" s="55" t="s">
        <v>38</v>
      </c>
      <c r="B38" s="21"/>
      <c r="C38" s="25"/>
      <c r="D38" s="25"/>
      <c r="E38" s="25"/>
      <c r="F38" s="29"/>
      <c r="G38" s="29"/>
      <c r="H38" s="29"/>
      <c r="I38" s="29"/>
      <c r="J38" s="29"/>
      <c r="K38" s="29"/>
      <c r="L38" s="29"/>
      <c r="M38" s="29"/>
      <c r="N38" s="29"/>
      <c r="O38" s="18"/>
    </row>
    <row r="39" spans="1:14" ht="12.75" customHeight="1">
      <c r="A39" s="55" t="s">
        <v>39</v>
      </c>
      <c r="B39" s="23"/>
      <c r="C39" s="23"/>
      <c r="D39" s="23"/>
      <c r="E39" s="28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9" customHeight="1">
      <c r="A40" s="15"/>
      <c r="B40" s="15"/>
      <c r="C40" s="13"/>
      <c r="D40" s="13"/>
      <c r="F40" s="30"/>
      <c r="G40" s="30"/>
      <c r="H40" s="31"/>
      <c r="I40" s="30"/>
      <c r="J40" s="30"/>
      <c r="K40" s="30"/>
      <c r="L40" s="30"/>
      <c r="M40" s="32"/>
      <c r="N40" s="30"/>
    </row>
    <row r="41" ht="12.75">
      <c r="A41" s="45" t="s">
        <v>40</v>
      </c>
    </row>
    <row r="42" ht="9.75" customHeight="1">
      <c r="A42" s="8"/>
    </row>
    <row r="43" spans="1:17" ht="14.25" customHeight="1">
      <c r="A43" s="47"/>
      <c r="B43" s="47"/>
      <c r="C43" s="47"/>
      <c r="D43" s="47"/>
      <c r="E43" s="48"/>
      <c r="F43" s="92" t="s">
        <v>3</v>
      </c>
      <c r="G43" s="96"/>
      <c r="H43" s="96"/>
      <c r="I43" s="93"/>
      <c r="J43" s="96"/>
      <c r="K43" s="93"/>
      <c r="L43" s="93"/>
      <c r="M43" s="97"/>
      <c r="N43" s="75"/>
      <c r="O43" s="94" t="s">
        <v>4</v>
      </c>
      <c r="P43" s="98"/>
      <c r="Q43" s="108"/>
    </row>
    <row r="44" spans="1:17" s="15" customFormat="1" ht="13.5">
      <c r="A44" s="52"/>
      <c r="B44" s="52"/>
      <c r="C44" s="52"/>
      <c r="D44" s="52"/>
      <c r="E44" s="58"/>
      <c r="F44" s="58" t="s">
        <v>41</v>
      </c>
      <c r="G44" s="58" t="s">
        <v>42</v>
      </c>
      <c r="H44" s="58" t="s">
        <v>43</v>
      </c>
      <c r="I44" s="58" t="s">
        <v>44</v>
      </c>
      <c r="J44" s="58" t="s">
        <v>45</v>
      </c>
      <c r="K44" s="58" t="s">
        <v>46</v>
      </c>
      <c r="L44" s="58" t="s">
        <v>47</v>
      </c>
      <c r="M44" s="58" t="s">
        <v>48</v>
      </c>
      <c r="N44" s="58" t="s">
        <v>49</v>
      </c>
      <c r="O44" s="58" t="s">
        <v>50</v>
      </c>
      <c r="P44" s="58" t="s">
        <v>51</v>
      </c>
      <c r="Q44" s="99" t="s">
        <v>52</v>
      </c>
    </row>
    <row r="45" spans="1:17" s="15" customFormat="1" ht="13.5">
      <c r="A45" s="50" t="s">
        <v>5</v>
      </c>
      <c r="B45" s="50"/>
      <c r="C45" s="50"/>
      <c r="D45" s="50"/>
      <c r="E45" s="66"/>
      <c r="F45" s="100">
        <f aca="true" t="shared" si="5" ref="F45:P59">G8/F8-1</f>
        <v>0.04126088730420596</v>
      </c>
      <c r="G45" s="100">
        <f t="shared" si="5"/>
        <v>0.04860389444453905</v>
      </c>
      <c r="H45" s="100">
        <f t="shared" si="5"/>
        <v>0.03990122173121913</v>
      </c>
      <c r="I45" s="100">
        <f t="shared" si="5"/>
        <v>0.02030996125484319</v>
      </c>
      <c r="J45" s="100">
        <f t="shared" si="5"/>
        <v>0.04552275372083048</v>
      </c>
      <c r="K45" s="100">
        <f t="shared" si="5"/>
        <v>0.09819715587059363</v>
      </c>
      <c r="L45" s="100">
        <f t="shared" si="5"/>
        <v>0.012162270290454247</v>
      </c>
      <c r="M45" s="100">
        <f t="shared" si="5"/>
        <v>0.06388837650530976</v>
      </c>
      <c r="N45" s="100">
        <f t="shared" si="5"/>
        <v>0.05496179424622594</v>
      </c>
      <c r="O45" s="100">
        <f t="shared" si="5"/>
        <v>0.04148617714386327</v>
      </c>
      <c r="P45" s="100">
        <f t="shared" si="5"/>
        <v>0.015171496522728978</v>
      </c>
      <c r="Q45" s="101">
        <f>(Q8/F8-1)/11</f>
        <v>0.05433290921024411</v>
      </c>
    </row>
    <row r="46" spans="1:17" s="15" customFormat="1" ht="13.5">
      <c r="A46" s="50"/>
      <c r="B46" s="50" t="s">
        <v>6</v>
      </c>
      <c r="C46" s="50"/>
      <c r="D46" s="50"/>
      <c r="E46" s="66"/>
      <c r="F46" s="100">
        <f t="shared" si="5"/>
        <v>0.03572807678870227</v>
      </c>
      <c r="G46" s="100">
        <f t="shared" si="5"/>
        <v>0.04614210133863583</v>
      </c>
      <c r="H46" s="100">
        <f t="shared" si="5"/>
        <v>0.04218922358930843</v>
      </c>
      <c r="I46" s="100">
        <f t="shared" si="5"/>
        <v>0.01581149956848127</v>
      </c>
      <c r="J46" s="100">
        <f t="shared" si="5"/>
        <v>0.04640761758199474</v>
      </c>
      <c r="K46" s="100">
        <f t="shared" si="5"/>
        <v>0.09936118387793558</v>
      </c>
      <c r="L46" s="100">
        <f t="shared" si="5"/>
        <v>0.011245349274695782</v>
      </c>
      <c r="M46" s="100">
        <f t="shared" si="5"/>
        <v>0.0636213311285656</v>
      </c>
      <c r="N46" s="100">
        <f t="shared" si="5"/>
        <v>0.05962143884332849</v>
      </c>
      <c r="O46" s="100">
        <f t="shared" si="5"/>
        <v>0.04462702808446117</v>
      </c>
      <c r="P46" s="100">
        <f t="shared" si="5"/>
        <v>0.014115333746883785</v>
      </c>
      <c r="Q46" s="101">
        <f aca="true" t="shared" si="6" ref="Q46:Q59">(Q9/F9-1)/11</f>
        <v>0.05393062337328008</v>
      </c>
    </row>
    <row r="47" spans="1:18" s="15" customFormat="1" ht="13.5">
      <c r="A47" s="50"/>
      <c r="B47" s="50" t="s">
        <v>53</v>
      </c>
      <c r="C47" s="50"/>
      <c r="D47" s="50"/>
      <c r="E47" s="66"/>
      <c r="F47" s="100">
        <f t="shared" si="5"/>
        <v>0.19246231155778903</v>
      </c>
      <c r="G47" s="100">
        <f t="shared" si="5"/>
        <v>0.10703750526759381</v>
      </c>
      <c r="H47" s="100">
        <f t="shared" si="5"/>
        <v>-0.011419870574800206</v>
      </c>
      <c r="I47" s="100">
        <f t="shared" si="5"/>
        <v>0.12668463611859848</v>
      </c>
      <c r="J47" s="100">
        <f t="shared" si="5"/>
        <v>0.02665755297334238</v>
      </c>
      <c r="K47" s="100">
        <f t="shared" si="5"/>
        <v>0.07290279627163776</v>
      </c>
      <c r="L47" s="100">
        <f t="shared" si="5"/>
        <v>0.03257834315854802</v>
      </c>
      <c r="M47" s="100">
        <f t="shared" si="5"/>
        <v>0.06971153846153855</v>
      </c>
      <c r="N47" s="100">
        <f t="shared" si="5"/>
        <v>-0.046067415730337125</v>
      </c>
      <c r="O47" s="100">
        <f t="shared" si="5"/>
        <v>-0.0341578327444052</v>
      </c>
      <c r="P47" s="100">
        <f t="shared" si="5"/>
        <v>0.04268292682926833</v>
      </c>
      <c r="Q47" s="101">
        <f t="shared" si="6"/>
        <v>0.06532663316582914</v>
      </c>
      <c r="R47" s="33"/>
    </row>
    <row r="48" spans="1:17" ht="13.5">
      <c r="A48" s="57" t="s">
        <v>8</v>
      </c>
      <c r="B48" s="57"/>
      <c r="C48" s="57"/>
      <c r="D48" s="57"/>
      <c r="E48" s="66"/>
      <c r="F48" s="100">
        <f t="shared" si="5"/>
        <v>0.12409080890456248</v>
      </c>
      <c r="G48" s="100">
        <f t="shared" si="5"/>
        <v>0.06547058823529417</v>
      </c>
      <c r="H48" s="100">
        <f t="shared" si="5"/>
        <v>0.08176447855131674</v>
      </c>
      <c r="I48" s="100">
        <f t="shared" si="5"/>
        <v>0.07988840121125507</v>
      </c>
      <c r="J48" s="100">
        <f t="shared" si="5"/>
        <v>0.006380163206150202</v>
      </c>
      <c r="K48" s="100">
        <f t="shared" si="5"/>
        <v>0.030258441212842158</v>
      </c>
      <c r="L48" s="100">
        <f t="shared" si="5"/>
        <v>0.02213747417041456</v>
      </c>
      <c r="M48" s="100">
        <f t="shared" si="5"/>
        <v>0.02229720690321524</v>
      </c>
      <c r="N48" s="100">
        <f t="shared" si="5"/>
        <v>0.07481133584400856</v>
      </c>
      <c r="O48" s="100">
        <f t="shared" si="5"/>
        <v>0.060945913038772614</v>
      </c>
      <c r="P48" s="100">
        <f t="shared" si="5"/>
        <v>0.08261606926539411</v>
      </c>
      <c r="Q48" s="101">
        <f t="shared" si="6"/>
        <v>0.07921133307952792</v>
      </c>
    </row>
    <row r="49" spans="1:17" ht="13.5">
      <c r="A49" s="57"/>
      <c r="B49" s="57" t="s">
        <v>9</v>
      </c>
      <c r="C49" s="57"/>
      <c r="D49" s="57"/>
      <c r="E49" s="66"/>
      <c r="F49" s="100">
        <f t="shared" si="5"/>
        <v>0.0924853890258428</v>
      </c>
      <c r="G49" s="100">
        <f t="shared" si="5"/>
        <v>0.040591247908321026</v>
      </c>
      <c r="H49" s="100">
        <f t="shared" si="5"/>
        <v>-0.0038008917476792803</v>
      </c>
      <c r="I49" s="100">
        <f t="shared" si="5"/>
        <v>0.05048059285347417</v>
      </c>
      <c r="J49" s="100">
        <f t="shared" si="5"/>
        <v>-0.0524784056250146</v>
      </c>
      <c r="K49" s="100">
        <f t="shared" si="5"/>
        <v>0.027667887067842845</v>
      </c>
      <c r="L49" s="100">
        <f t="shared" si="5"/>
        <v>0.015063481816225632</v>
      </c>
      <c r="M49" s="100">
        <f t="shared" si="5"/>
        <v>0.0058181989494263675</v>
      </c>
      <c r="N49" s="100">
        <f t="shared" si="5"/>
        <v>0.08295081967213114</v>
      </c>
      <c r="O49" s="100">
        <f t="shared" si="5"/>
        <v>0.010012542710090333</v>
      </c>
      <c r="P49" s="100">
        <f t="shared" si="5"/>
        <v>0.05224280055668551</v>
      </c>
      <c r="Q49" s="101">
        <f t="shared" si="6"/>
        <v>0.03284038344836617</v>
      </c>
    </row>
    <row r="50" spans="1:17" ht="13.5">
      <c r="A50" s="57"/>
      <c r="B50" s="57" t="s">
        <v>54</v>
      </c>
      <c r="C50" s="57"/>
      <c r="D50" s="57"/>
      <c r="E50" s="80"/>
      <c r="F50" s="100">
        <f t="shared" si="5"/>
        <v>0.29192095321127587</v>
      </c>
      <c r="G50" s="100">
        <f t="shared" si="5"/>
        <v>0.18693060398155437</v>
      </c>
      <c r="H50" s="100">
        <f t="shared" si="5"/>
        <v>0.3763858618402349</v>
      </c>
      <c r="I50" s="100">
        <f t="shared" si="5"/>
        <v>0.11931153184165222</v>
      </c>
      <c r="J50" s="100">
        <f t="shared" si="5"/>
        <v>0.07190306310739336</v>
      </c>
      <c r="K50" s="100">
        <f t="shared" si="5"/>
        <v>-0.030412578183278804</v>
      </c>
      <c r="L50" s="100">
        <f t="shared" si="5"/>
        <v>0.08942415813458005</v>
      </c>
      <c r="M50" s="100">
        <f t="shared" si="5"/>
        <v>0.08121468926553677</v>
      </c>
      <c r="N50" s="100">
        <f t="shared" si="5"/>
        <v>0.0853137717931971</v>
      </c>
      <c r="O50" s="100">
        <f t="shared" si="5"/>
        <v>0.20369427341326785</v>
      </c>
      <c r="P50" s="100">
        <f t="shared" si="5"/>
        <v>0.16730125764393677</v>
      </c>
      <c r="Q50" s="101">
        <f t="shared" si="6"/>
        <v>0.3100182293730681</v>
      </c>
    </row>
    <row r="51" spans="1:17" ht="13.5">
      <c r="A51" s="57"/>
      <c r="B51" s="57" t="s">
        <v>55</v>
      </c>
      <c r="C51" s="57"/>
      <c r="D51" s="57"/>
      <c r="E51" s="66"/>
      <c r="F51" s="100">
        <f t="shared" si="5"/>
        <v>0.1182389937106918</v>
      </c>
      <c r="G51" s="100">
        <f t="shared" si="5"/>
        <v>0.03149606299212593</v>
      </c>
      <c r="H51" s="100">
        <f t="shared" si="5"/>
        <v>0.22500908760450744</v>
      </c>
      <c r="I51" s="100">
        <f t="shared" si="5"/>
        <v>0.26676557863501493</v>
      </c>
      <c r="J51" s="100">
        <f t="shared" si="5"/>
        <v>0.3490278753806513</v>
      </c>
      <c r="K51" s="100">
        <f t="shared" si="5"/>
        <v>0.2319847195693696</v>
      </c>
      <c r="L51" s="100">
        <f t="shared" si="5"/>
        <v>-0.09626497533474276</v>
      </c>
      <c r="M51" s="100">
        <f t="shared" si="5"/>
        <v>-0.03774173424828442</v>
      </c>
      <c r="N51" s="100">
        <f>O14/N14-1</f>
        <v>-0.015397082658022643</v>
      </c>
      <c r="O51" s="100">
        <f>P14/O14-1</f>
        <v>-0.05893004115226341</v>
      </c>
      <c r="P51" s="100">
        <f t="shared" si="5"/>
        <v>-0.05439916039881054</v>
      </c>
      <c r="Q51" s="101">
        <f t="shared" si="6"/>
        <v>0.11515151515151514</v>
      </c>
    </row>
    <row r="52" spans="1:17" ht="14.25" customHeight="1">
      <c r="A52" s="57" t="s">
        <v>56</v>
      </c>
      <c r="B52" s="57"/>
      <c r="C52" s="57"/>
      <c r="D52" s="57"/>
      <c r="E52" s="80"/>
      <c r="F52" s="100">
        <f t="shared" si="5"/>
        <v>0.1297576260252511</v>
      </c>
      <c r="G52" s="100">
        <f t="shared" si="5"/>
        <v>0.07847295864262982</v>
      </c>
      <c r="H52" s="100">
        <f t="shared" si="5"/>
        <v>0.15384615384615374</v>
      </c>
      <c r="I52" s="100">
        <f t="shared" si="5"/>
        <v>0.07597509013438208</v>
      </c>
      <c r="J52" s="100">
        <f t="shared" si="5"/>
        <v>0.05440477641038144</v>
      </c>
      <c r="K52" s="100">
        <f t="shared" si="5"/>
        <v>0.06332697752354544</v>
      </c>
      <c r="L52" s="100">
        <f t="shared" si="5"/>
        <v>0.06026191381839907</v>
      </c>
      <c r="M52" s="100">
        <f t="shared" si="5"/>
        <v>0.07011070110701101</v>
      </c>
      <c r="N52" s="100">
        <f t="shared" si="5"/>
        <v>0.06546934865900389</v>
      </c>
      <c r="O52" s="100">
        <f t="shared" si="5"/>
        <v>0.05182721265788648</v>
      </c>
      <c r="P52" s="100">
        <f t="shared" si="5"/>
        <v>0.06153846153846154</v>
      </c>
      <c r="Q52" s="101">
        <f t="shared" si="6"/>
        <v>0.11719908512830823</v>
      </c>
    </row>
    <row r="53" spans="1:17" ht="13.5">
      <c r="A53" s="57" t="s">
        <v>57</v>
      </c>
      <c r="B53" s="57"/>
      <c r="C53" s="57"/>
      <c r="D53" s="57"/>
      <c r="E53" s="80"/>
      <c r="F53" s="100">
        <f t="shared" si="5"/>
        <v>-0.06824247045367904</v>
      </c>
      <c r="G53" s="100">
        <f t="shared" si="5"/>
        <v>0.06014729950900155</v>
      </c>
      <c r="H53" s="100">
        <f t="shared" si="5"/>
        <v>0.13739868776534148</v>
      </c>
      <c r="I53" s="100">
        <f t="shared" si="5"/>
        <v>0.058703766542246294</v>
      </c>
      <c r="J53" s="100">
        <f t="shared" si="5"/>
        <v>-0.029487179487179493</v>
      </c>
      <c r="K53" s="100">
        <f t="shared" si="5"/>
        <v>-0.17437252311756934</v>
      </c>
      <c r="L53" s="100">
        <f t="shared" si="5"/>
        <v>0.1783999999999999</v>
      </c>
      <c r="M53" s="100">
        <f t="shared" si="5"/>
        <v>0.06279701289884598</v>
      </c>
      <c r="N53" s="100">
        <f t="shared" si="5"/>
        <v>0.25742574257425743</v>
      </c>
      <c r="O53" s="100">
        <f t="shared" si="5"/>
        <v>0.16840233680467365</v>
      </c>
      <c r="P53" s="100">
        <f t="shared" si="5"/>
        <v>0.0652173913043479</v>
      </c>
      <c r="Q53" s="101">
        <f t="shared" si="6"/>
        <v>0.07891727030118184</v>
      </c>
    </row>
    <row r="54" spans="1:17" ht="13.5">
      <c r="A54" s="57" t="s">
        <v>58</v>
      </c>
      <c r="B54" s="57"/>
      <c r="C54" s="57"/>
      <c r="D54" s="57"/>
      <c r="E54" s="66"/>
      <c r="F54" s="100">
        <f t="shared" si="5"/>
        <v>0.6379310344827587</v>
      </c>
      <c r="G54" s="100">
        <f t="shared" si="5"/>
        <v>-0.14273684210526316</v>
      </c>
      <c r="H54" s="100">
        <f t="shared" si="5"/>
        <v>-0.4860019646365422</v>
      </c>
      <c r="I54" s="100">
        <f t="shared" si="5"/>
        <v>-0.8088867654085046</v>
      </c>
      <c r="J54" s="100"/>
      <c r="K54" s="100"/>
      <c r="L54" s="100"/>
      <c r="M54" s="100"/>
      <c r="N54" s="100"/>
      <c r="O54" s="100"/>
      <c r="P54" s="100"/>
      <c r="Q54" s="101"/>
    </row>
    <row r="55" spans="1:17" ht="13.5">
      <c r="A55" s="57" t="s">
        <v>59</v>
      </c>
      <c r="B55" s="57"/>
      <c r="C55" s="57"/>
      <c r="D55" s="57"/>
      <c r="E55" s="69"/>
      <c r="F55" s="100">
        <f t="shared" si="5"/>
        <v>-0.039911308203991136</v>
      </c>
      <c r="G55" s="100">
        <f t="shared" si="5"/>
        <v>0.022517321016166214</v>
      </c>
      <c r="H55" s="100">
        <f t="shared" si="5"/>
        <v>0.11744776962168268</v>
      </c>
      <c r="I55" s="100">
        <f t="shared" si="5"/>
        <v>0.08489135927235969</v>
      </c>
      <c r="J55" s="100">
        <f t="shared" si="5"/>
        <v>0.0023288309268747476</v>
      </c>
      <c r="K55" s="100">
        <f>L18/K18-1</f>
        <v>0.0367100371747211</v>
      </c>
      <c r="L55" s="100">
        <f>M18/L18-1</f>
        <v>0.02510085163603759</v>
      </c>
      <c r="M55" s="100">
        <f aca="true" t="shared" si="7" ref="M55:O56">N18/M18-1</f>
        <v>-0.07608220376038477</v>
      </c>
      <c r="N55" s="100">
        <f t="shared" si="7"/>
        <v>0.14245149077141495</v>
      </c>
      <c r="O55" s="100">
        <f t="shared" si="7"/>
        <v>0.07705053852526933</v>
      </c>
      <c r="P55" s="70">
        <f>Q18/P18-1</f>
        <v>0.019230769230769162</v>
      </c>
      <c r="Q55" s="102">
        <f t="shared" si="6"/>
        <v>0.042632533763354165</v>
      </c>
    </row>
    <row r="56" spans="1:17" s="13" customFormat="1" ht="13.5">
      <c r="A56" s="82" t="s">
        <v>60</v>
      </c>
      <c r="B56" s="82"/>
      <c r="C56" s="82"/>
      <c r="D56" s="82"/>
      <c r="E56" s="66"/>
      <c r="F56" s="103">
        <f t="shared" si="5"/>
        <v>0.06364297543835051</v>
      </c>
      <c r="G56" s="103">
        <f t="shared" si="5"/>
        <v>0.06605483424504044</v>
      </c>
      <c r="H56" s="103">
        <f t="shared" si="5"/>
        <v>0.0886848734950001</v>
      </c>
      <c r="I56" s="103">
        <f t="shared" si="5"/>
        <v>0.06522665000922778</v>
      </c>
      <c r="J56" s="103">
        <f t="shared" si="5"/>
        <v>0.03054635596100419</v>
      </c>
      <c r="K56" s="103">
        <f>L19/K19-1</f>
        <v>0.060038409062987075</v>
      </c>
      <c r="L56" s="103">
        <f>M19/L19-1</f>
        <v>0.024277766933437528</v>
      </c>
      <c r="M56" s="103">
        <f t="shared" si="7"/>
        <v>0.04602301150575294</v>
      </c>
      <c r="N56" s="103">
        <f t="shared" si="7"/>
        <v>0.06864453098312495</v>
      </c>
      <c r="O56" s="103">
        <f t="shared" si="7"/>
        <v>0.053494653731200215</v>
      </c>
      <c r="P56" s="100">
        <f>Q19/P19-1</f>
        <v>0.04862396455988116</v>
      </c>
      <c r="Q56" s="101">
        <f t="shared" si="6"/>
        <v>0.07427204458425707</v>
      </c>
    </row>
    <row r="57" spans="1:17" s="13" customFormat="1" ht="13.5">
      <c r="A57" s="49" t="s">
        <v>61</v>
      </c>
      <c r="B57" s="49"/>
      <c r="C57" s="49"/>
      <c r="D57" s="49"/>
      <c r="E57" s="69"/>
      <c r="F57" s="70">
        <f t="shared" si="5"/>
        <v>0.06247762583231897</v>
      </c>
      <c r="G57" s="70">
        <f t="shared" si="5"/>
        <v>0.06683120361868977</v>
      </c>
      <c r="H57" s="70">
        <f t="shared" si="5"/>
        <v>0.08572376057038644</v>
      </c>
      <c r="I57" s="70">
        <f t="shared" si="5"/>
        <v>0.06028740146027878</v>
      </c>
      <c r="J57" s="70">
        <f t="shared" si="5"/>
        <v>0.021221141579445435</v>
      </c>
      <c r="K57" s="70">
        <f t="shared" si="5"/>
        <v>0.05338769040646918</v>
      </c>
      <c r="L57" s="70">
        <f t="shared" si="5"/>
        <v>0.029730746424723176</v>
      </c>
      <c r="M57" s="70">
        <f t="shared" si="5"/>
        <v>0.049348622944323406</v>
      </c>
      <c r="N57" s="104">
        <f t="shared" si="5"/>
        <v>0.07170421421575002</v>
      </c>
      <c r="O57" s="104">
        <f t="shared" si="5"/>
        <v>0.057255018554612125</v>
      </c>
      <c r="P57" s="70">
        <f>Q20/P20-1</f>
        <v>0.05169118604348388</v>
      </c>
      <c r="Q57" s="102">
        <f t="shared" si="6"/>
        <v>0.07339947408501858</v>
      </c>
    </row>
    <row r="58" spans="1:24" ht="15" customHeight="1">
      <c r="A58" s="105" t="s">
        <v>62</v>
      </c>
      <c r="B58" s="50"/>
      <c r="C58" s="50"/>
      <c r="D58" s="50"/>
      <c r="E58" s="66"/>
      <c r="F58" s="106">
        <f t="shared" si="5"/>
        <v>0.024568588073596187</v>
      </c>
      <c r="G58" s="106">
        <f t="shared" si="5"/>
        <v>0.0428457513379179</v>
      </c>
      <c r="H58" s="106">
        <f t="shared" si="5"/>
        <v>0.04698530431088366</v>
      </c>
      <c r="I58" s="106">
        <f t="shared" si="5"/>
        <v>0.040517567674463795</v>
      </c>
      <c r="J58" s="106">
        <f>K21/J21-1</f>
        <v>0.016140439382533067</v>
      </c>
      <c r="K58" s="106">
        <f t="shared" si="5"/>
        <v>0.0286989164125675</v>
      </c>
      <c r="L58" s="106">
        <f t="shared" si="5"/>
        <v>-0.0031648146904905694</v>
      </c>
      <c r="M58" s="106">
        <f>N21/M21-1</f>
        <v>0.00898906052338777</v>
      </c>
      <c r="N58" s="106">
        <f>O21/N21-1</f>
        <v>0.04048952836480568</v>
      </c>
      <c r="O58" s="106">
        <f t="shared" si="5"/>
        <v>0.00024126637144017415</v>
      </c>
      <c r="P58" s="106">
        <f t="shared" si="5"/>
        <v>0.011241525041811418</v>
      </c>
      <c r="Q58" s="101">
        <f t="shared" si="6"/>
        <v>0.026177629519778766</v>
      </c>
      <c r="R58" s="34"/>
      <c r="S58" s="34"/>
      <c r="T58" s="34"/>
      <c r="U58" s="34"/>
      <c r="V58" s="34"/>
      <c r="W58" s="34"/>
      <c r="X58" s="35"/>
    </row>
    <row r="59" spans="1:24" ht="14.25" customHeight="1">
      <c r="A59" s="107" t="s">
        <v>63</v>
      </c>
      <c r="B59" s="49"/>
      <c r="C59" s="49"/>
      <c r="D59" s="49"/>
      <c r="E59" s="69"/>
      <c r="F59" s="70">
        <f t="shared" si="5"/>
        <v>0.019131731916306904</v>
      </c>
      <c r="G59" s="70">
        <f t="shared" si="5"/>
        <v>0.03978356908514469</v>
      </c>
      <c r="H59" s="70">
        <f t="shared" si="5"/>
        <v>0.04286765433988449</v>
      </c>
      <c r="I59" s="70">
        <f t="shared" si="5"/>
        <v>0.03472191924483159</v>
      </c>
      <c r="J59" s="70">
        <f t="shared" si="5"/>
        <v>0.010105522888534502</v>
      </c>
      <c r="K59" s="70">
        <f t="shared" si="5"/>
        <v>0.022598292499602657</v>
      </c>
      <c r="L59" s="70">
        <f t="shared" si="5"/>
        <v>-0.008573763294089987</v>
      </c>
      <c r="M59" s="70">
        <f t="shared" si="5"/>
        <v>0.00401402592073663</v>
      </c>
      <c r="N59" s="70">
        <f t="shared" si="5"/>
        <v>0.03509914324139518</v>
      </c>
      <c r="O59" s="70">
        <f t="shared" si="5"/>
        <v>-0.005393243214797394</v>
      </c>
      <c r="P59" s="70">
        <f t="shared" si="5"/>
        <v>0.004903778187899777</v>
      </c>
      <c r="Q59" s="102">
        <f t="shared" si="6"/>
        <v>0.01966751768093099</v>
      </c>
      <c r="R59" s="34"/>
      <c r="S59" s="34"/>
      <c r="T59" s="34"/>
      <c r="U59" s="34"/>
      <c r="V59" s="34"/>
      <c r="W59" s="34"/>
      <c r="X59" s="35"/>
    </row>
    <row r="60" spans="1:15" ht="12" customHeight="1">
      <c r="A60" s="55" t="s">
        <v>64</v>
      </c>
      <c r="B60" s="21"/>
      <c r="C60" s="21"/>
      <c r="D60" s="25"/>
      <c r="E60" s="22"/>
      <c r="F60" s="21"/>
      <c r="G60" s="7"/>
      <c r="H60" s="7"/>
      <c r="I60" s="7"/>
      <c r="J60" s="7"/>
      <c r="K60" s="7"/>
      <c r="L60" s="7"/>
      <c r="M60" s="7"/>
      <c r="N60" s="7"/>
      <c r="O60" s="7"/>
    </row>
    <row r="61" spans="1:6" ht="12.75" customHeight="1">
      <c r="A61" s="16"/>
      <c r="B61" s="25"/>
      <c r="C61" s="27"/>
      <c r="D61" s="27"/>
      <c r="E61" s="28"/>
      <c r="F61" s="26"/>
    </row>
    <row r="62" spans="1:4" ht="7.5" customHeight="1">
      <c r="A62" s="36"/>
      <c r="B62" s="18"/>
      <c r="C62" s="36"/>
      <c r="D62" s="37"/>
    </row>
    <row r="63" spans="1:14" ht="17.25">
      <c r="A63" s="9"/>
      <c r="B63" s="38"/>
      <c r="C63" s="38"/>
      <c r="D63" s="38"/>
      <c r="E63" s="39"/>
      <c r="F63" s="38"/>
      <c r="G63" s="38"/>
      <c r="H63" s="38"/>
      <c r="I63" s="38"/>
      <c r="J63" s="38"/>
      <c r="K63" s="38"/>
      <c r="L63" s="38"/>
      <c r="M63" s="38"/>
      <c r="N63" s="38"/>
    </row>
    <row r="64" spans="2:14" ht="12.75">
      <c r="B64" s="36"/>
      <c r="C64" s="36"/>
      <c r="D64" s="36"/>
      <c r="E64" s="40"/>
      <c r="F64" s="36"/>
      <c r="G64" s="36"/>
      <c r="H64" s="36"/>
      <c r="I64" s="36"/>
      <c r="J64" s="36"/>
      <c r="K64" s="36"/>
      <c r="L64" s="36"/>
      <c r="M64" s="36"/>
      <c r="N64" s="36"/>
    </row>
    <row r="66" spans="1:16" s="13" customFormat="1" ht="12.75">
      <c r="A66" s="15"/>
      <c r="B66" s="15"/>
      <c r="C66" s="15"/>
      <c r="D66" s="15"/>
      <c r="E66" s="41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7"/>
    </row>
    <row r="67" spans="1:5" ht="12.75">
      <c r="A67" s="5"/>
      <c r="E67" s="42"/>
    </row>
    <row r="68" spans="1:16" s="38" customFormat="1" ht="17.25">
      <c r="A68" s="43"/>
      <c r="B68" s="1"/>
      <c r="C68" s="1"/>
      <c r="D68" s="1"/>
      <c r="E68" s="2"/>
      <c r="F68" s="1"/>
      <c r="G68" s="1"/>
      <c r="H68" s="1"/>
      <c r="I68" s="1"/>
      <c r="J68" s="1"/>
      <c r="K68" s="1"/>
      <c r="L68" s="1"/>
      <c r="M68" s="1"/>
      <c r="N68" s="1"/>
      <c r="P68" s="3"/>
    </row>
    <row r="69" spans="1:16" s="36" customFormat="1" ht="12.75">
      <c r="A69" s="1"/>
      <c r="B69" s="1"/>
      <c r="C69" s="1"/>
      <c r="D69" s="1"/>
      <c r="E69" s="2"/>
      <c r="F69" s="1"/>
      <c r="G69" s="1"/>
      <c r="H69" s="1"/>
      <c r="I69" s="1"/>
      <c r="J69" s="1"/>
      <c r="K69" s="1"/>
      <c r="L69" s="1"/>
      <c r="M69" s="1"/>
      <c r="N69" s="1"/>
      <c r="P69" s="3"/>
    </row>
    <row r="70" spans="5:16" s="13" customFormat="1" ht="12.75">
      <c r="E70" s="2"/>
      <c r="P70" s="17"/>
    </row>
    <row r="71" spans="1:24" s="15" customFormat="1" ht="12.75">
      <c r="A71" s="1"/>
      <c r="B71" s="1"/>
      <c r="C71" s="1"/>
      <c r="D71" s="1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3"/>
      <c r="Q71" s="1"/>
      <c r="R71" s="1"/>
      <c r="S71" s="1"/>
      <c r="T71" s="1"/>
      <c r="U71" s="1"/>
      <c r="V71" s="1"/>
      <c r="W71" s="1"/>
      <c r="X71" s="1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Toril F. Pedersen</dc:creator>
  <cp:keywords/>
  <dc:description/>
  <cp:lastModifiedBy>Øystein H. Rolandsen</cp:lastModifiedBy>
  <cp:lastPrinted>1999-03-10T13:14:35Z</cp:lastPrinted>
  <dcterms:created xsi:type="dcterms:W3CDTF">1999-02-10T13:49:48Z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